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ICIEMBRE DE 2025\ANEXOS AÑO 2025 LOT. HUILA\"/>
    </mc:Choice>
  </mc:AlternateContent>
  <bookViews>
    <workbookView xWindow="0" yWindow="0" windowWidth="28800" windowHeight="12435"/>
  </bookViews>
  <sheets>
    <sheet name="AÑO 2024" sheetId="1" r:id="rId1"/>
  </sheets>
  <externalReferences>
    <externalReference r:id="rId2"/>
    <externalReference r:id="rId3"/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4" i="1" l="1"/>
  <c r="L174" i="1"/>
  <c r="I174" i="1"/>
  <c r="F174" i="1"/>
  <c r="G62" i="1" l="1"/>
  <c r="G61" i="1"/>
  <c r="G60" i="1"/>
  <c r="G59" i="1"/>
  <c r="G58" i="1"/>
  <c r="G57" i="1"/>
  <c r="G56" i="1" l="1"/>
  <c r="E80" i="1"/>
  <c r="E77" i="1" s="1"/>
  <c r="E76" i="1" s="1"/>
  <c r="B74" i="1"/>
  <c r="B73" i="1" s="1"/>
  <c r="B62" i="1"/>
  <c r="N62" i="1" s="1"/>
  <c r="P62" i="1" s="1"/>
  <c r="B61" i="1"/>
  <c r="B60" i="1"/>
  <c r="D60" i="1" s="1"/>
  <c r="B59" i="1"/>
  <c r="N59" i="1" s="1"/>
  <c r="B58" i="1"/>
  <c r="D61" i="1"/>
  <c r="B57" i="1"/>
  <c r="E56" i="1"/>
  <c r="E49" i="1"/>
  <c r="A293" i="1"/>
  <c r="B288" i="1"/>
  <c r="B289" i="1" s="1"/>
  <c r="B290" i="1" s="1"/>
  <c r="B291" i="1" s="1"/>
  <c r="A281" i="1"/>
  <c r="B277" i="1"/>
  <c r="B275" i="1"/>
  <c r="B276" i="1" s="1"/>
  <c r="A268" i="1"/>
  <c r="B265" i="1"/>
  <c r="B266" i="1" s="1"/>
  <c r="A257" i="1"/>
  <c r="B222" i="1"/>
  <c r="B221" i="1"/>
  <c r="B219" i="1"/>
  <c r="P173" i="1"/>
  <c r="O171" i="1"/>
  <c r="N171" i="1"/>
  <c r="M171" i="1"/>
  <c r="J171" i="1"/>
  <c r="O170" i="1"/>
  <c r="N170" i="1"/>
  <c r="M170" i="1"/>
  <c r="J170" i="1"/>
  <c r="O169" i="1"/>
  <c r="K169" i="1"/>
  <c r="M169" i="1" s="1"/>
  <c r="H169" i="1"/>
  <c r="H168" i="1" s="1"/>
  <c r="O168" i="1"/>
  <c r="O167" i="1"/>
  <c r="N167" i="1"/>
  <c r="M167" i="1"/>
  <c r="J167" i="1"/>
  <c r="L166" i="1"/>
  <c r="K166" i="1"/>
  <c r="K165" i="1" s="1"/>
  <c r="N165" i="1" s="1"/>
  <c r="I166" i="1"/>
  <c r="H166" i="1"/>
  <c r="J166" i="1" s="1"/>
  <c r="I165" i="1"/>
  <c r="I164" i="1" s="1"/>
  <c r="I45" i="1" s="1"/>
  <c r="N163" i="1"/>
  <c r="P163" i="1" s="1"/>
  <c r="D163" i="1"/>
  <c r="N162" i="1"/>
  <c r="P162" i="1" s="1"/>
  <c r="D162" i="1"/>
  <c r="B208" i="1" s="1"/>
  <c r="B161" i="1"/>
  <c r="N161" i="1" s="1"/>
  <c r="P161" i="1" s="1"/>
  <c r="N160" i="1"/>
  <c r="P160" i="1" s="1"/>
  <c r="D160" i="1"/>
  <c r="B242" i="1" s="1"/>
  <c r="B243" i="1" s="1"/>
  <c r="B244" i="1" s="1"/>
  <c r="O159" i="1"/>
  <c r="N159" i="1"/>
  <c r="D159" i="1"/>
  <c r="N158" i="1"/>
  <c r="P158" i="1" s="1"/>
  <c r="G158" i="1"/>
  <c r="D158" i="1"/>
  <c r="N157" i="1"/>
  <c r="P157" i="1" s="1"/>
  <c r="G157" i="1"/>
  <c r="D157" i="1"/>
  <c r="G156" i="1"/>
  <c r="B156" i="1"/>
  <c r="N156" i="1" s="1"/>
  <c r="P156" i="1" s="1"/>
  <c r="N155" i="1"/>
  <c r="P155" i="1" s="1"/>
  <c r="G155" i="1"/>
  <c r="D155" i="1"/>
  <c r="N154" i="1"/>
  <c r="P154" i="1" s="1"/>
  <c r="G154" i="1"/>
  <c r="D154" i="1"/>
  <c r="O153" i="1"/>
  <c r="N153" i="1"/>
  <c r="G153" i="1"/>
  <c r="D153" i="1"/>
  <c r="D152" i="1" s="1"/>
  <c r="F152" i="1"/>
  <c r="E152" i="1"/>
  <c r="B152" i="1"/>
  <c r="N151" i="1"/>
  <c r="P151" i="1" s="1"/>
  <c r="G151" i="1"/>
  <c r="D151" i="1"/>
  <c r="N150" i="1"/>
  <c r="P150" i="1" s="1"/>
  <c r="G150" i="1"/>
  <c r="D150" i="1"/>
  <c r="N149" i="1"/>
  <c r="P149" i="1" s="1"/>
  <c r="G149" i="1"/>
  <c r="D149" i="1"/>
  <c r="F148" i="1"/>
  <c r="E148" i="1"/>
  <c r="B148" i="1"/>
  <c r="O147" i="1"/>
  <c r="N147" i="1"/>
  <c r="D147" i="1"/>
  <c r="P146" i="1"/>
  <c r="O146" i="1"/>
  <c r="N146" i="1"/>
  <c r="D146" i="1"/>
  <c r="N145" i="1"/>
  <c r="P145" i="1" s="1"/>
  <c r="D145" i="1"/>
  <c r="C144" i="1"/>
  <c r="O144" i="1" s="1"/>
  <c r="B144" i="1"/>
  <c r="N144" i="1" s="1"/>
  <c r="C143" i="1"/>
  <c r="C142" i="1" s="1"/>
  <c r="N141" i="1"/>
  <c r="P141" i="1" s="1"/>
  <c r="D141" i="1"/>
  <c r="B140" i="1"/>
  <c r="N138" i="1"/>
  <c r="P138" i="1" s="1"/>
  <c r="D138" i="1"/>
  <c r="B137" i="1"/>
  <c r="N137" i="1" s="1"/>
  <c r="P137" i="1" s="1"/>
  <c r="N136" i="1"/>
  <c r="P136" i="1" s="1"/>
  <c r="D136" i="1"/>
  <c r="N135" i="1"/>
  <c r="P135" i="1" s="1"/>
  <c r="D135" i="1"/>
  <c r="N134" i="1"/>
  <c r="P134" i="1" s="1"/>
  <c r="D134" i="1"/>
  <c r="N133" i="1"/>
  <c r="P133" i="1" s="1"/>
  <c r="D133" i="1"/>
  <c r="N132" i="1"/>
  <c r="P132" i="1" s="1"/>
  <c r="B132" i="1"/>
  <c r="D132" i="1" s="1"/>
  <c r="N130" i="1"/>
  <c r="P130" i="1" s="1"/>
  <c r="D130" i="1"/>
  <c r="B129" i="1"/>
  <c r="N129" i="1" s="1"/>
  <c r="P129" i="1" s="1"/>
  <c r="N128" i="1"/>
  <c r="P128" i="1" s="1"/>
  <c r="D128" i="1"/>
  <c r="N127" i="1"/>
  <c r="N125" i="1" s="1"/>
  <c r="D127" i="1"/>
  <c r="N126" i="1"/>
  <c r="P126" i="1" s="1"/>
  <c r="D126" i="1"/>
  <c r="O125" i="1"/>
  <c r="C125" i="1"/>
  <c r="N124" i="1"/>
  <c r="P124" i="1" s="1"/>
  <c r="D124" i="1"/>
  <c r="P123" i="1"/>
  <c r="N123" i="1"/>
  <c r="D123" i="1"/>
  <c r="N122" i="1"/>
  <c r="P122" i="1" s="1"/>
  <c r="D122" i="1"/>
  <c r="N121" i="1"/>
  <c r="P121" i="1" s="1"/>
  <c r="D121" i="1"/>
  <c r="P120" i="1"/>
  <c r="N120" i="1"/>
  <c r="D120" i="1"/>
  <c r="N119" i="1"/>
  <c r="P119" i="1" s="1"/>
  <c r="D119" i="1"/>
  <c r="N118" i="1"/>
  <c r="P118" i="1" s="1"/>
  <c r="D118" i="1"/>
  <c r="B117" i="1"/>
  <c r="N117" i="1" s="1"/>
  <c r="P117" i="1" s="1"/>
  <c r="N116" i="1"/>
  <c r="P116" i="1" s="1"/>
  <c r="D116" i="1"/>
  <c r="N115" i="1"/>
  <c r="P115" i="1" s="1"/>
  <c r="D115" i="1"/>
  <c r="N114" i="1"/>
  <c r="P114" i="1" s="1"/>
  <c r="D114" i="1"/>
  <c r="P113" i="1"/>
  <c r="N113" i="1"/>
  <c r="D113" i="1"/>
  <c r="B112" i="1"/>
  <c r="N112" i="1" s="1"/>
  <c r="P112" i="1" s="1"/>
  <c r="N111" i="1"/>
  <c r="P111" i="1" s="1"/>
  <c r="D111" i="1"/>
  <c r="N110" i="1"/>
  <c r="P110" i="1" s="1"/>
  <c r="D110" i="1"/>
  <c r="N109" i="1"/>
  <c r="P109" i="1" s="1"/>
  <c r="D109" i="1"/>
  <c r="B108" i="1"/>
  <c r="D108" i="1" s="1"/>
  <c r="N107" i="1"/>
  <c r="P107" i="1" s="1"/>
  <c r="D107" i="1"/>
  <c r="N106" i="1"/>
  <c r="P106" i="1" s="1"/>
  <c r="D106" i="1"/>
  <c r="N105" i="1"/>
  <c r="P105" i="1" s="1"/>
  <c r="D105" i="1"/>
  <c r="O104" i="1"/>
  <c r="O83" i="1" s="1"/>
  <c r="N104" i="1"/>
  <c r="P104" i="1" s="1"/>
  <c r="J104" i="1"/>
  <c r="J103" i="1" s="1"/>
  <c r="D104" i="1"/>
  <c r="H103" i="1"/>
  <c r="H82" i="1" s="1"/>
  <c r="C103" i="1"/>
  <c r="O103" i="1" s="1"/>
  <c r="O82" i="1" s="1"/>
  <c r="B103" i="1"/>
  <c r="N103" i="1" s="1"/>
  <c r="O102" i="1"/>
  <c r="G102" i="1"/>
  <c r="B102" i="1"/>
  <c r="N101" i="1"/>
  <c r="P101" i="1" s="1"/>
  <c r="D101" i="1"/>
  <c r="B100" i="1"/>
  <c r="N100" i="1" s="1"/>
  <c r="P100" i="1" s="1"/>
  <c r="N99" i="1"/>
  <c r="P99" i="1" s="1"/>
  <c r="D99" i="1"/>
  <c r="N98" i="1"/>
  <c r="P98" i="1" s="1"/>
  <c r="D98" i="1"/>
  <c r="N97" i="1"/>
  <c r="P97" i="1" s="1"/>
  <c r="D97" i="1"/>
  <c r="P96" i="1"/>
  <c r="N96" i="1"/>
  <c r="D96" i="1"/>
  <c r="N95" i="1"/>
  <c r="P95" i="1" s="1"/>
  <c r="D95" i="1"/>
  <c r="C94" i="1"/>
  <c r="B94" i="1"/>
  <c r="N94" i="1" s="1"/>
  <c r="P94" i="1" s="1"/>
  <c r="N93" i="1"/>
  <c r="P93" i="1" s="1"/>
  <c r="D93" i="1"/>
  <c r="N92" i="1"/>
  <c r="P92" i="1" s="1"/>
  <c r="D92" i="1"/>
  <c r="N91" i="1"/>
  <c r="P91" i="1" s="1"/>
  <c r="D91" i="1"/>
  <c r="N90" i="1"/>
  <c r="P90" i="1" s="1"/>
  <c r="D90" i="1"/>
  <c r="N89" i="1"/>
  <c r="P89" i="1" s="1"/>
  <c r="D89" i="1"/>
  <c r="B88" i="1"/>
  <c r="N88" i="1" s="1"/>
  <c r="P88" i="1" s="1"/>
  <c r="N87" i="1"/>
  <c r="P87" i="1" s="1"/>
  <c r="D87" i="1"/>
  <c r="N86" i="1"/>
  <c r="P86" i="1" s="1"/>
  <c r="D86" i="1"/>
  <c r="N85" i="1"/>
  <c r="P85" i="1" s="1"/>
  <c r="D85" i="1"/>
  <c r="N84" i="1"/>
  <c r="P84" i="1" s="1"/>
  <c r="B84" i="1"/>
  <c r="D84" i="1" s="1"/>
  <c r="N83" i="1"/>
  <c r="C83" i="1"/>
  <c r="D83" i="1" s="1"/>
  <c r="I82" i="1"/>
  <c r="F82" i="1"/>
  <c r="E82" i="1"/>
  <c r="N81" i="1"/>
  <c r="P81" i="1" s="1"/>
  <c r="J81" i="1"/>
  <c r="D81" i="1"/>
  <c r="O80" i="1"/>
  <c r="N80" i="1"/>
  <c r="P80" i="1" s="1"/>
  <c r="J80" i="1"/>
  <c r="G80" i="1" s="1"/>
  <c r="G77" i="1" s="1"/>
  <c r="G76" i="1" s="1"/>
  <c r="B80" i="1"/>
  <c r="D80" i="1" s="1"/>
  <c r="O79" i="1"/>
  <c r="O77" i="1" s="1"/>
  <c r="O76" i="1" s="1"/>
  <c r="N79" i="1"/>
  <c r="J79" i="1"/>
  <c r="D79" i="1"/>
  <c r="N78" i="1"/>
  <c r="P78" i="1" s="1"/>
  <c r="J78" i="1"/>
  <c r="D78" i="1"/>
  <c r="J77" i="1"/>
  <c r="H77" i="1"/>
  <c r="C77" i="1"/>
  <c r="C76" i="1" s="1"/>
  <c r="B76" i="1"/>
  <c r="I76" i="1"/>
  <c r="H76" i="1"/>
  <c r="F76" i="1"/>
  <c r="O75" i="1"/>
  <c r="N75" i="1"/>
  <c r="G75" i="1"/>
  <c r="D75" i="1"/>
  <c r="O74" i="1"/>
  <c r="G74" i="1"/>
  <c r="D74" i="1"/>
  <c r="O73" i="1"/>
  <c r="E73" i="1"/>
  <c r="C73" i="1"/>
  <c r="C66" i="1" s="1"/>
  <c r="O72" i="1"/>
  <c r="G72" i="1"/>
  <c r="B72" i="1"/>
  <c r="D72" i="1" s="1"/>
  <c r="O71" i="1"/>
  <c r="G71" i="1"/>
  <c r="B71" i="1"/>
  <c r="N71" i="1" s="1"/>
  <c r="O70" i="1"/>
  <c r="G70" i="1"/>
  <c r="B70" i="1"/>
  <c r="N70" i="1" s="1"/>
  <c r="O69" i="1"/>
  <c r="G69" i="1"/>
  <c r="B69" i="1"/>
  <c r="O68" i="1"/>
  <c r="G68" i="1"/>
  <c r="B68" i="1"/>
  <c r="D68" i="1" s="1"/>
  <c r="O67" i="1"/>
  <c r="F66" i="1"/>
  <c r="N65" i="1"/>
  <c r="P65" i="1" s="1"/>
  <c r="D65" i="1"/>
  <c r="N64" i="1"/>
  <c r="P64" i="1" s="1"/>
  <c r="D64" i="1"/>
  <c r="O63" i="1"/>
  <c r="B63" i="1"/>
  <c r="D63" i="1" s="1"/>
  <c r="N63" i="1" s="1"/>
  <c r="O61" i="1"/>
  <c r="O60" i="1"/>
  <c r="N60" i="1"/>
  <c r="O59" i="1"/>
  <c r="D59" i="1"/>
  <c r="O58" i="1"/>
  <c r="N58" i="1"/>
  <c r="D58" i="1"/>
  <c r="O57" i="1"/>
  <c r="N57" i="1"/>
  <c r="D57" i="1"/>
  <c r="C56" i="1"/>
  <c r="O56" i="1" s="1"/>
  <c r="O55" i="1"/>
  <c r="G55" i="1"/>
  <c r="B55" i="1"/>
  <c r="D55" i="1" s="1"/>
  <c r="E54" i="1"/>
  <c r="C54" i="1"/>
  <c r="O54" i="1" s="1"/>
  <c r="N53" i="1"/>
  <c r="P53" i="1" s="1"/>
  <c r="D53" i="1"/>
  <c r="G52" i="1"/>
  <c r="B52" i="1"/>
  <c r="B51" i="1"/>
  <c r="D51" i="1" s="1"/>
  <c r="E50" i="1"/>
  <c r="G50" i="1" s="1"/>
  <c r="O49" i="1"/>
  <c r="C48" i="1"/>
  <c r="O48" i="1" s="1"/>
  <c r="F47" i="1"/>
  <c r="T45" i="1"/>
  <c r="O44" i="1"/>
  <c r="N44" i="1"/>
  <c r="M44" i="1"/>
  <c r="J44" i="1"/>
  <c r="O43" i="1"/>
  <c r="N43" i="1"/>
  <c r="M43" i="1"/>
  <c r="J43" i="1"/>
  <c r="O42" i="1"/>
  <c r="N42" i="1"/>
  <c r="M42" i="1"/>
  <c r="J42" i="1"/>
  <c r="O41" i="1"/>
  <c r="N41" i="1"/>
  <c r="M41" i="1"/>
  <c r="J41" i="1"/>
  <c r="O40" i="1"/>
  <c r="N40" i="1"/>
  <c r="M40" i="1"/>
  <c r="J40" i="1"/>
  <c r="N39" i="1"/>
  <c r="M39" i="1"/>
  <c r="L39" i="1"/>
  <c r="O39" i="1" s="1"/>
  <c r="I39" i="1"/>
  <c r="J39" i="1" s="1"/>
  <c r="O38" i="1"/>
  <c r="N38" i="1"/>
  <c r="M38" i="1"/>
  <c r="J38" i="1"/>
  <c r="O37" i="1"/>
  <c r="N37" i="1"/>
  <c r="M37" i="1"/>
  <c r="J37" i="1"/>
  <c r="O36" i="1"/>
  <c r="N36" i="1"/>
  <c r="M36" i="1"/>
  <c r="J36" i="1"/>
  <c r="N35" i="1"/>
  <c r="L35" i="1"/>
  <c r="O35" i="1" s="1"/>
  <c r="I35" i="1"/>
  <c r="K34" i="1"/>
  <c r="N34" i="1" s="1"/>
  <c r="H34" i="1"/>
  <c r="H31" i="1" s="1"/>
  <c r="H28" i="1" s="1"/>
  <c r="O33" i="1"/>
  <c r="N33" i="1"/>
  <c r="M33" i="1"/>
  <c r="J33" i="1"/>
  <c r="N32" i="1"/>
  <c r="L32" i="1"/>
  <c r="O32" i="1" s="1"/>
  <c r="I32" i="1"/>
  <c r="J32" i="1" s="1"/>
  <c r="B31" i="1"/>
  <c r="O30" i="1"/>
  <c r="O29" i="1" s="1"/>
  <c r="P29" i="1" s="1"/>
  <c r="P28" i="1" s="1"/>
  <c r="J30" i="1"/>
  <c r="I29" i="1"/>
  <c r="L28" i="1"/>
  <c r="O27" i="1"/>
  <c r="N27" i="1"/>
  <c r="D27" i="1"/>
  <c r="O26" i="1"/>
  <c r="N26" i="1"/>
  <c r="D26" i="1"/>
  <c r="O25" i="1"/>
  <c r="B25" i="1"/>
  <c r="N25" i="1" s="1"/>
  <c r="O24" i="1"/>
  <c r="O23" i="1"/>
  <c r="P23" i="1" s="1"/>
  <c r="D23" i="1"/>
  <c r="C22" i="1"/>
  <c r="O20" i="1"/>
  <c r="P20" i="1" s="1"/>
  <c r="G20" i="1"/>
  <c r="O19" i="1"/>
  <c r="P19" i="1" s="1"/>
  <c r="G19" i="1"/>
  <c r="O18" i="1"/>
  <c r="P18" i="1" s="1"/>
  <c r="G18" i="1"/>
  <c r="O17" i="1"/>
  <c r="N17" i="1"/>
  <c r="G17" i="1"/>
  <c r="F16" i="1"/>
  <c r="O16" i="1" s="1"/>
  <c r="E16" i="1"/>
  <c r="N16" i="1" s="1"/>
  <c r="P16" i="1" s="1"/>
  <c r="O15" i="1"/>
  <c r="P15" i="1" s="1"/>
  <c r="D15" i="1"/>
  <c r="O14" i="1"/>
  <c r="P14" i="1" s="1"/>
  <c r="D14" i="1"/>
  <c r="C13" i="1"/>
  <c r="O13" i="1" s="1"/>
  <c r="P13" i="1" s="1"/>
  <c r="J11" i="1"/>
  <c r="I11" i="1"/>
  <c r="H11" i="1"/>
  <c r="H10" i="1"/>
  <c r="P144" i="1" l="1"/>
  <c r="N74" i="1"/>
  <c r="N166" i="1"/>
  <c r="P26" i="1"/>
  <c r="P30" i="1"/>
  <c r="M32" i="1"/>
  <c r="I34" i="1"/>
  <c r="F46" i="1"/>
  <c r="P57" i="1"/>
  <c r="P60" i="1"/>
  <c r="P33" i="1"/>
  <c r="N55" i="1"/>
  <c r="P55" i="1" s="1"/>
  <c r="P58" i="1"/>
  <c r="P63" i="1"/>
  <c r="N108" i="1"/>
  <c r="P108" i="1" s="1"/>
  <c r="D148" i="1"/>
  <c r="G148" i="1"/>
  <c r="D73" i="1"/>
  <c r="P103" i="1"/>
  <c r="P125" i="1"/>
  <c r="N148" i="1"/>
  <c r="P148" i="1" s="1"/>
  <c r="P170" i="1"/>
  <c r="B223" i="1"/>
  <c r="P41" i="1"/>
  <c r="N51" i="1"/>
  <c r="P51" i="1" s="1"/>
  <c r="B24" i="1"/>
  <c r="B11" i="1" s="1"/>
  <c r="P36" i="1"/>
  <c r="P37" i="1"/>
  <c r="B56" i="1"/>
  <c r="D56" i="1" s="1"/>
  <c r="P32" i="1"/>
  <c r="P38" i="1"/>
  <c r="P40" i="1"/>
  <c r="P127" i="1"/>
  <c r="D137" i="1"/>
  <c r="P167" i="1"/>
  <c r="P171" i="1"/>
  <c r="E10" i="1"/>
  <c r="F11" i="1"/>
  <c r="F12" i="1"/>
  <c r="D24" i="1"/>
  <c r="B205" i="1" s="1"/>
  <c r="D25" i="1"/>
  <c r="P27" i="1"/>
  <c r="P42" i="1"/>
  <c r="P43" i="1"/>
  <c r="P44" i="1"/>
  <c r="B54" i="1"/>
  <c r="N54" i="1" s="1"/>
  <c r="N68" i="1"/>
  <c r="P68" i="1" s="1"/>
  <c r="P71" i="1"/>
  <c r="O66" i="1"/>
  <c r="J82" i="1"/>
  <c r="P159" i="1"/>
  <c r="H165" i="1"/>
  <c r="J165" i="1" s="1"/>
  <c r="P25" i="1"/>
  <c r="E11" i="1"/>
  <c r="F10" i="1"/>
  <c r="F172" i="1" s="1"/>
  <c r="N24" i="1"/>
  <c r="P24" i="1" s="1"/>
  <c r="P35" i="1"/>
  <c r="P39" i="1"/>
  <c r="P59" i="1"/>
  <c r="P70" i="1"/>
  <c r="N72" i="1"/>
  <c r="P72" i="1" s="1"/>
  <c r="P74" i="1"/>
  <c r="P75" i="1"/>
  <c r="J76" i="1"/>
  <c r="N76" i="1" s="1"/>
  <c r="P76" i="1" s="1"/>
  <c r="P79" i="1"/>
  <c r="C82" i="1"/>
  <c r="B143" i="1"/>
  <c r="D143" i="1" s="1"/>
  <c r="B207" i="1"/>
  <c r="B253" i="1"/>
  <c r="B254" i="1" s="1"/>
  <c r="B255" i="1" s="1"/>
  <c r="D77" i="1"/>
  <c r="N77" i="1"/>
  <c r="P77" i="1" s="1"/>
  <c r="N73" i="1"/>
  <c r="P73" i="1" s="1"/>
  <c r="G73" i="1"/>
  <c r="D62" i="1"/>
  <c r="N61" i="1"/>
  <c r="P61" i="1" s="1"/>
  <c r="D71" i="1"/>
  <c r="D70" i="1"/>
  <c r="I31" i="1"/>
  <c r="J31" i="1" s="1"/>
  <c r="J34" i="1"/>
  <c r="J168" i="1"/>
  <c r="D140" i="1"/>
  <c r="B139" i="1"/>
  <c r="N140" i="1"/>
  <c r="P140" i="1" s="1"/>
  <c r="D76" i="1"/>
  <c r="D94" i="1"/>
  <c r="D161" i="1"/>
  <c r="J169" i="1"/>
  <c r="E12" i="1"/>
  <c r="N12" i="1" s="1"/>
  <c r="P17" i="1"/>
  <c r="N11" i="1"/>
  <c r="B10" i="1"/>
  <c r="P54" i="1"/>
  <c r="D69" i="1"/>
  <c r="N69" i="1"/>
  <c r="P69" i="1" s="1"/>
  <c r="D103" i="1"/>
  <c r="J35" i="1"/>
  <c r="N102" i="1"/>
  <c r="P102" i="1" s="1"/>
  <c r="D102" i="1"/>
  <c r="C21" i="1"/>
  <c r="O22" i="1"/>
  <c r="P22" i="1" s="1"/>
  <c r="P83" i="1"/>
  <c r="L165" i="1"/>
  <c r="O166" i="1"/>
  <c r="D13" i="1"/>
  <c r="D22" i="1"/>
  <c r="O28" i="1"/>
  <c r="G82" i="1"/>
  <c r="B82" i="1"/>
  <c r="M166" i="1"/>
  <c r="E143" i="1"/>
  <c r="E142" i="1" s="1"/>
  <c r="N152" i="1"/>
  <c r="G152" i="1"/>
  <c r="B50" i="1"/>
  <c r="N52" i="1"/>
  <c r="P52" i="1" s="1"/>
  <c r="D54" i="1"/>
  <c r="B142" i="1"/>
  <c r="F143" i="1"/>
  <c r="O152" i="1"/>
  <c r="D52" i="1"/>
  <c r="C47" i="1"/>
  <c r="P147" i="1"/>
  <c r="P153" i="1"/>
  <c r="M165" i="1"/>
  <c r="P166" i="1"/>
  <c r="K168" i="1"/>
  <c r="G16" i="1"/>
  <c r="J29" i="1"/>
  <c r="L34" i="1"/>
  <c r="M35" i="1"/>
  <c r="D100" i="1"/>
  <c r="D112" i="1"/>
  <c r="D117" i="1"/>
  <c r="B125" i="1"/>
  <c r="D125" i="1" s="1"/>
  <c r="D129" i="1"/>
  <c r="D144" i="1"/>
  <c r="B206" i="1" s="1"/>
  <c r="D156" i="1"/>
  <c r="B193" i="1" s="1"/>
  <c r="N169" i="1"/>
  <c r="P169" i="1" s="1"/>
  <c r="D88" i="1"/>
  <c r="K31" i="1"/>
  <c r="G143" i="1" l="1"/>
  <c r="G142" i="1" s="1"/>
  <c r="N56" i="1"/>
  <c r="P56" i="1" s="1"/>
  <c r="G12" i="1"/>
  <c r="H164" i="1"/>
  <c r="H45" i="1" s="1"/>
  <c r="H172" i="1" s="1"/>
  <c r="M34" i="1"/>
  <c r="L31" i="1"/>
  <c r="O34" i="1"/>
  <c r="O47" i="1"/>
  <c r="C46" i="1"/>
  <c r="N143" i="1"/>
  <c r="G11" i="1"/>
  <c r="G10" i="1"/>
  <c r="D50" i="1"/>
  <c r="N50" i="1"/>
  <c r="P50" i="1" s="1"/>
  <c r="D21" i="1"/>
  <c r="O21" i="1"/>
  <c r="P21" i="1" s="1"/>
  <c r="C12" i="1"/>
  <c r="N168" i="1"/>
  <c r="P168" i="1" s="1"/>
  <c r="M168" i="1"/>
  <c r="K164" i="1"/>
  <c r="D139" i="1"/>
  <c r="B131" i="1"/>
  <c r="D131" i="1" s="1"/>
  <c r="N131" i="1" s="1"/>
  <c r="P131" i="1" s="1"/>
  <c r="N139" i="1"/>
  <c r="P139" i="1" s="1"/>
  <c r="P152" i="1"/>
  <c r="F142" i="1"/>
  <c r="O142" i="1" s="1"/>
  <c r="O143" i="1"/>
  <c r="B191" i="1"/>
  <c r="C191" i="1" s="1"/>
  <c r="B204" i="1"/>
  <c r="B231" i="1"/>
  <c r="I28" i="1"/>
  <c r="N142" i="1"/>
  <c r="D142" i="1"/>
  <c r="K10" i="1"/>
  <c r="K28" i="1"/>
  <c r="D82" i="1"/>
  <c r="N82" i="1"/>
  <c r="P82" i="1" s="1"/>
  <c r="L164" i="1"/>
  <c r="O165" i="1"/>
  <c r="P165" i="1" s="1"/>
  <c r="N31" i="1"/>
  <c r="N10" i="1" s="1"/>
  <c r="J164" i="1" l="1"/>
  <c r="J45" i="1" s="1"/>
  <c r="P143" i="1"/>
  <c r="P142" i="1"/>
  <c r="O164" i="1"/>
  <c r="L45" i="1"/>
  <c r="J28" i="1"/>
  <c r="J10" i="1" s="1"/>
  <c r="I10" i="1"/>
  <c r="I172" i="1" s="1"/>
  <c r="O46" i="1"/>
  <c r="C45" i="1"/>
  <c r="N28" i="1"/>
  <c r="M28" i="1"/>
  <c r="B210" i="1"/>
  <c r="M164" i="1"/>
  <c r="M45" i="1" s="1"/>
  <c r="K45" i="1"/>
  <c r="K172" i="1" s="1"/>
  <c r="N164" i="1"/>
  <c r="B196" i="1"/>
  <c r="B218" i="1"/>
  <c r="B220" i="1" s="1"/>
  <c r="B224" i="1" s="1"/>
  <c r="P34" i="1"/>
  <c r="P31" i="1" s="1"/>
  <c r="O31" i="1"/>
  <c r="L10" i="1"/>
  <c r="L172" i="1" s="1"/>
  <c r="M31" i="1"/>
  <c r="M10" i="1" s="1"/>
  <c r="O12" i="1"/>
  <c r="P12" i="1" s="1"/>
  <c r="C11" i="1"/>
  <c r="D12" i="1"/>
  <c r="D11" i="1" s="1"/>
  <c r="D10" i="1" s="1"/>
  <c r="O45" i="1" l="1"/>
  <c r="P164" i="1"/>
  <c r="J172" i="1"/>
  <c r="J174" i="1" s="1"/>
  <c r="O11" i="1"/>
  <c r="C10" i="1"/>
  <c r="C172" i="1" s="1"/>
  <c r="M172" i="1"/>
  <c r="M174" i="1" s="1"/>
  <c r="P11" i="1" l="1"/>
  <c r="P10" i="1" s="1"/>
  <c r="O10" i="1"/>
  <c r="O172" i="1" s="1"/>
  <c r="G49" i="1"/>
  <c r="E48" i="1"/>
  <c r="G48" i="1" s="1"/>
  <c r="B49" i="1"/>
  <c r="D49" i="1" s="1"/>
  <c r="E47" i="1" l="1"/>
  <c r="B48" i="1"/>
  <c r="D48" i="1" s="1"/>
  <c r="N49" i="1"/>
  <c r="P49" i="1" s="1"/>
  <c r="B47" i="1" l="1"/>
  <c r="N47" i="1" s="1"/>
  <c r="N48" i="1"/>
  <c r="P48" i="1" s="1"/>
  <c r="G47" i="1"/>
  <c r="D47" i="1"/>
  <c r="P47" i="1" l="1"/>
  <c r="G67" i="1"/>
  <c r="E66" i="1"/>
  <c r="B67" i="1"/>
  <c r="D67" i="1" s="1"/>
  <c r="G66" i="1" l="1"/>
  <c r="E46" i="1"/>
  <c r="E45" i="1" s="1"/>
  <c r="N67" i="1"/>
  <c r="P67" i="1" s="1"/>
  <c r="B66" i="1"/>
  <c r="B46" i="1" s="1"/>
  <c r="E172" i="1" l="1"/>
  <c r="G46" i="1"/>
  <c r="G45" i="1" s="1"/>
  <c r="G172" i="1" s="1"/>
  <c r="G174" i="1" s="1"/>
  <c r="N66" i="1"/>
  <c r="D66" i="1"/>
  <c r="B45" i="1"/>
  <c r="B172" i="1" s="1"/>
  <c r="D46" i="1"/>
  <c r="N46" i="1" l="1"/>
  <c r="P66" i="1"/>
  <c r="B192" i="1"/>
  <c r="B195" i="1" s="1"/>
  <c r="D45" i="1"/>
  <c r="D172" i="1" s="1"/>
  <c r="D174" i="1" l="1"/>
  <c r="B211" i="1"/>
  <c r="N45" i="1"/>
  <c r="N172" i="1" s="1"/>
  <c r="P46" i="1"/>
  <c r="P45" i="1" s="1"/>
  <c r="P172" i="1" s="1"/>
  <c r="P174" i="1" s="1"/>
  <c r="B197" i="1"/>
  <c r="C195" i="1"/>
  <c r="B232" i="1"/>
  <c r="B233" i="1" s="1"/>
  <c r="B209" i="1"/>
  <c r="C196" i="1"/>
  <c r="D196" i="1" s="1"/>
  <c r="B212" i="1" l="1"/>
  <c r="C211" i="1"/>
  <c r="C212" i="1" s="1"/>
</calcChain>
</file>

<file path=xl/sharedStrings.xml><?xml version="1.0" encoding="utf-8"?>
<sst xmlns="http://schemas.openxmlformats.org/spreadsheetml/2006/main" count="579" uniqueCount="250">
  <si>
    <t>EMPRESA DE LOTERIA Y JUEGO DE APUESTAS PERMANENTES DEL DEPARTAMENTO DEL HUILA</t>
  </si>
  <si>
    <t>Nit No  800244699 - 7</t>
  </si>
  <si>
    <t>ESTADO DE RESULTADO INTEGRAL POR NEGOCIO</t>
  </si>
  <si>
    <t xml:space="preserve"> </t>
  </si>
  <si>
    <t>CuentaTerceroCCosto</t>
  </si>
  <si>
    <t>LOTERIA</t>
  </si>
  <si>
    <t>CHANCE</t>
  </si>
  <si>
    <t>SUBVENCIONES</t>
  </si>
  <si>
    <t>OTROS INGRESOS</t>
  </si>
  <si>
    <t>CONSOLIDADO</t>
  </si>
  <si>
    <t>M. Debitos</t>
  </si>
  <si>
    <t>M. Creditos</t>
  </si>
  <si>
    <t>Nuevo Saldo</t>
  </si>
  <si>
    <t>4  INGRESOS</t>
  </si>
  <si>
    <t>43  VENTA DE SERVICIOS</t>
  </si>
  <si>
    <t>4340  JUEGOS DE SUERTE Y AZAR</t>
  </si>
  <si>
    <t>0,00</t>
  </si>
  <si>
    <t>434001  LOTERÍAS ORDINARIAS</t>
  </si>
  <si>
    <t>43400101  Ventas dentro del Dpto.</t>
  </si>
  <si>
    <t>43400102  Ventas Fuera del Dpto.</t>
  </si>
  <si>
    <t>434002  APUESTAS PERMANENTES</t>
  </si>
  <si>
    <t>43400201  Venta de Talonarios</t>
  </si>
  <si>
    <t>43400203  1% derechos de administracion</t>
  </si>
  <si>
    <t>43400207  Premios no cobrados Ley 393/2010</t>
  </si>
  <si>
    <t>43400208  Rollos Termicos</t>
  </si>
  <si>
    <t>434007  SORTEOS EXTRAORDINARIOS</t>
  </si>
  <si>
    <t>43400701  SRTEO EXTRA 05 DE 2022 y 2023</t>
  </si>
  <si>
    <t>4340070101  Convenio Int. No. 031-Jul.-2022</t>
  </si>
  <si>
    <t>4395  DEVOLUCIONES, REBAJAS Y DESCUENTOS EN VENTA DE SERVICIOS (DB)</t>
  </si>
  <si>
    <t>439508  JUEGOS DE SUERTE Y AZAR</t>
  </si>
  <si>
    <t>43950801  Dentro del Departamento</t>
  </si>
  <si>
    <t>43950802  Fuera del departamento</t>
  </si>
  <si>
    <t>44 TRANSFERENCIAS Y SUBVENCIONES</t>
  </si>
  <si>
    <t>4430 SUBVENCIONES</t>
  </si>
  <si>
    <t>443005 SUBVENCIONES POR RECURSOS TRANSFERIDOS POR EL GOBIERNO</t>
  </si>
  <si>
    <t>48  OTROS INGRESOS</t>
  </si>
  <si>
    <t>4802  FINANCIEROS</t>
  </si>
  <si>
    <t>480201  Intereses sobre depositos en institucines financieras</t>
  </si>
  <si>
    <t>4808  INGRESOS DIVERSOS</t>
  </si>
  <si>
    <t>480827  APROVECHAMIENTOS</t>
  </si>
  <si>
    <t>48082701  Venta de papel reciclaje</t>
  </si>
  <si>
    <t>48082703 Recupracion Billeteria Hurtada</t>
  </si>
  <si>
    <t>48082704 Depuracion Pasivos</t>
  </si>
  <si>
    <t>480890  Otros Ingresos Diversos</t>
  </si>
  <si>
    <t>48089001  Aprovechamientos</t>
  </si>
  <si>
    <t>48089002  Descuentos en compras condicionados</t>
  </si>
  <si>
    <t>48089007  Reintegro Incapacidades</t>
  </si>
  <si>
    <t>48089019  Depuración Pasivos</t>
  </si>
  <si>
    <t>48089020  Ajuste 25% Premios No Cobrados</t>
  </si>
  <si>
    <t>5 GASTOS</t>
  </si>
  <si>
    <t>51  DE ADMINISTRACIÓN  Y OPERACIÓN</t>
  </si>
  <si>
    <t>5101  SUELDOS Y SALARIOS</t>
  </si>
  <si>
    <t>510101  SUELDOS</t>
  </si>
  <si>
    <t>51010101  Sueldo Basico</t>
  </si>
  <si>
    <t>510119  BONIFICACIONES</t>
  </si>
  <si>
    <t>51011901  Bonificacion por Recreacion</t>
  </si>
  <si>
    <t>51011902  Bonificacion por servicios prestados</t>
  </si>
  <si>
    <t>510160  SUBSIDIO DE ALIMENTACIÓN</t>
  </si>
  <si>
    <t>5102  CONTRIBUCIONES IMPUTADAS</t>
  </si>
  <si>
    <t>510203  INDEMNIZACIONES</t>
  </si>
  <si>
    <t>5103  CONTRIBUCIONES EFECTIVAS</t>
  </si>
  <si>
    <t>510302  APORTES A CAJAS DE COMPENSACIÓN FAMILIAR</t>
  </si>
  <si>
    <t>510303  COTIZACIONES A SEGURIDAD SOCIAL EN SALUD</t>
  </si>
  <si>
    <t>510304 Aportes Sindicales</t>
  </si>
  <si>
    <t>510305  Cotizaciones a riesgos laborales</t>
  </si>
  <si>
    <t>510306  COTIZACIONES A ENTIDADES ADMINISTRADORAS DEL RÉGIMEN DE PRIMA MEDIA</t>
  </si>
  <si>
    <t>510307  COTIZACIONES A ENTIDADES ADMINISTRADORAS DEL RÉGIMEN DE AHORRO INDIVIDUAL</t>
  </si>
  <si>
    <t>5104  APORTES SOBRE LA NÓMINA</t>
  </si>
  <si>
    <t>510401  APORTES AL ICBF</t>
  </si>
  <si>
    <t>510402  APORTES AL SENA</t>
  </si>
  <si>
    <t>5107  PRESTACIONES SOCIALES</t>
  </si>
  <si>
    <t>510701  VACACIONES</t>
  </si>
  <si>
    <t>510702  CESANTÍAS</t>
  </si>
  <si>
    <t>510703  INTERESES A LAS CESANTÍAS</t>
  </si>
  <si>
    <t>510704  PRIMA DE VACACIONES</t>
  </si>
  <si>
    <t>510705  PRIMA DE NAVIDAD</t>
  </si>
  <si>
    <t>510706  PRIMA DE SERVICIOS</t>
  </si>
  <si>
    <t>510790  OTRAS PRIMAS</t>
  </si>
  <si>
    <t>51079001  Prima Tecnica</t>
  </si>
  <si>
    <t>51079002  Prima Quinquinal</t>
  </si>
  <si>
    <t>5108  GASTOS PERSONAL DIVERSOS</t>
  </si>
  <si>
    <t>510801  REMUNERACION SERVICIOS TECNICOS</t>
  </si>
  <si>
    <t>51080101  Honorarios Persona Natural</t>
  </si>
  <si>
    <t>51080102  Honorarios persona Juridica</t>
  </si>
  <si>
    <t>51080103  Honorarios Contratistas</t>
  </si>
  <si>
    <t>510803  CAPACITACIÓN, BIENESTAR SOCIAL Y ESTÍMULOS</t>
  </si>
  <si>
    <t>5111  GENERALES</t>
  </si>
  <si>
    <t>511113  VIGILANCIA Y SEGURIDAD</t>
  </si>
  <si>
    <t>511114  MATERIALES Y SUMINISTROS</t>
  </si>
  <si>
    <t>51111401  Papeleria, utiles y otros</t>
  </si>
  <si>
    <t>51111403  Elementos de aseo y cafeteria</t>
  </si>
  <si>
    <t>51111405  Materiales y suministros</t>
  </si>
  <si>
    <t>511115  MANTENIMIENTO</t>
  </si>
  <si>
    <t>51111501  Mantenimiento oficina</t>
  </si>
  <si>
    <t>51111504  Mantenimiento Planta Baloteras</t>
  </si>
  <si>
    <t>51111505  Mantenimiento Aires Acondicionados</t>
  </si>
  <si>
    <t>51111506  Recargas Extintores</t>
  </si>
  <si>
    <t>51111507  Mantenimiento Dummis</t>
  </si>
  <si>
    <t>511117  SERVICIOS PÚBLICOS</t>
  </si>
  <si>
    <t>51111701  Energia</t>
  </si>
  <si>
    <t>51111702  Celular</t>
  </si>
  <si>
    <t>51111703  Agua</t>
  </si>
  <si>
    <t>51111704  Telefono</t>
  </si>
  <si>
    <t>51111705  Internet</t>
  </si>
  <si>
    <t>511118 ARRENDAMIENTOS OPERATIVOS</t>
  </si>
  <si>
    <t xml:space="preserve">51111801 Bienes Muebles </t>
  </si>
  <si>
    <t>511119  VIÁTICOS Y GASTOS DE VIAJE</t>
  </si>
  <si>
    <t>511120  PUBLICIDAD Y PROPAGANDA</t>
  </si>
  <si>
    <t>51112001  Publicidad</t>
  </si>
  <si>
    <t>511121  IMPRESOS, PUBLICACIONES, SUSCRIPCIONES Y AFILIACIONES</t>
  </si>
  <si>
    <t>511122  FOTOCOPIAS</t>
  </si>
  <si>
    <t>511123  COMUNICACIONES Y TRANSPORTE</t>
  </si>
  <si>
    <t>511125  SEGUROS GENERALES</t>
  </si>
  <si>
    <t>51112501  Polizas de Manejo</t>
  </si>
  <si>
    <t>51112503  Seguros Generales</t>
  </si>
  <si>
    <t>511146  COMBUSTIBLES Y LUBRICANTES</t>
  </si>
  <si>
    <t>511149  SERVICIOS DE ASEO, CAFETERÍA, RESTAURANTE Y LAVANDERÍA</t>
  </si>
  <si>
    <t>51114901  Aseo</t>
  </si>
  <si>
    <t>51114902  Restaurante</t>
  </si>
  <si>
    <t>511164  GASTOS LEGALES</t>
  </si>
  <si>
    <t>511180  SERVICIOS</t>
  </si>
  <si>
    <t>511190  OTROS GASTOS GENERALES</t>
  </si>
  <si>
    <t>51119001  Administracion Edf.Diego de Ospina</t>
  </si>
  <si>
    <t>51119002  Peaje</t>
  </si>
  <si>
    <t>51119003  Parqueadero</t>
  </si>
  <si>
    <t>51119004  Serv. Funerarios  Loteros</t>
  </si>
  <si>
    <t>51119005  Cuota de sostenimiento</t>
  </si>
  <si>
    <t>51119006  Otros Gastos Generales</t>
  </si>
  <si>
    <t>51119008  Servicio de Conectividad y Alojamiento de Modalidad Nube</t>
  </si>
  <si>
    <t>5120  IMPUESTOS, CONTRIBUCIONES Y TASAS</t>
  </si>
  <si>
    <t>512001  Impuesto predial unificado</t>
  </si>
  <si>
    <t>512002  CUOTA DE FISCALIZACIÓN Y AUDITAJE</t>
  </si>
  <si>
    <t>512026  Contribuciones</t>
  </si>
  <si>
    <t>512090  Otros Impuestos</t>
  </si>
  <si>
    <t>51209004  Impuestos Asumidos</t>
  </si>
  <si>
    <t>53  DETERIORO, DEPRECIACIONES, AGOTAMIENTO, AMORTIZACIONES Y PROVISIONES</t>
  </si>
  <si>
    <t>5351  DETERIORO DE PROPIEDADES, PLANTA Y EQUIPO</t>
  </si>
  <si>
    <t>535105  EDIFICACIONES</t>
  </si>
  <si>
    <t>535107  REDES, LÍNEAS Y CABLES</t>
  </si>
  <si>
    <t>535108 MAQUINARIA Y EQUIPO</t>
  </si>
  <si>
    <t>535111  EQUIPO DE COMUNICACIÓN Y COMPUTACIÓN</t>
  </si>
  <si>
    <t>5357  DETERIORO DE ACTIVOS INTANGIBLES</t>
  </si>
  <si>
    <t>535707  SOFWARE</t>
  </si>
  <si>
    <t>5373  PROVISIONES DIVERSAS</t>
  </si>
  <si>
    <t>537303  RESERVA TECNICA PAGO DE PREMIOS</t>
  </si>
  <si>
    <t>53730302 GOBERNACION DEL HUILA - RSERVA TECNICA</t>
  </si>
  <si>
    <t>56  DE ACTIVIDADES Y/O SERVICIOS ESPECIALIZADOS</t>
  </si>
  <si>
    <t>5618  JUEGOS DE SUERTE Y AZAR</t>
  </si>
  <si>
    <t>561802  PAGO DE PREMIOS</t>
  </si>
  <si>
    <t>56180201  Premios Mayores</t>
  </si>
  <si>
    <t>56180202  Premios Secos</t>
  </si>
  <si>
    <t>56180203  Premios Aproximaciones</t>
  </si>
  <si>
    <t>561805  BONIFICACIÓN POR PAGO DE PREMIOS</t>
  </si>
  <si>
    <t>56180501  Distribuidor</t>
  </si>
  <si>
    <t>56180502  Lotero</t>
  </si>
  <si>
    <t>56180503  Taquillero</t>
  </si>
  <si>
    <t>561807  IMPRESIÓN DE BILLETES</t>
  </si>
  <si>
    <t>56180701  Billeteria Loteria</t>
  </si>
  <si>
    <t>56180702  Talonario Apuestas Permanentes</t>
  </si>
  <si>
    <t>561808  TRANSPORTE</t>
  </si>
  <si>
    <t>561809 PUBLICIDAD</t>
  </si>
  <si>
    <t>56180904 Promocion Raspa y Gane</t>
  </si>
  <si>
    <t>56180906 Participación Eventos</t>
  </si>
  <si>
    <t>561810  RESERVA TÉCNICA PARA EL PAGO DE PREMIOS</t>
  </si>
  <si>
    <t>561811  Renta de Monopolio de los juegos de suerte y azar</t>
  </si>
  <si>
    <t>561890  OTROS COSTOS POR JUEGOS DE SUERTE Y AZAR</t>
  </si>
  <si>
    <t>56189001  Foraneas fuera del Dpto.</t>
  </si>
  <si>
    <t>56189002  Premios Extraviados</t>
  </si>
  <si>
    <t>58  OTROS GASTOS</t>
  </si>
  <si>
    <t>5804  FINANCIEROS</t>
  </si>
  <si>
    <t>580490  OTROS GASTOS FINANCIEROS</t>
  </si>
  <si>
    <t>58049002  Comisiones, porte e iva</t>
  </si>
  <si>
    <t>5890  GASTOS DIVERSOS</t>
  </si>
  <si>
    <t>589090  OTROS GASTOS DIVERSOS</t>
  </si>
  <si>
    <t>58909004  Gastos Vigencias Anteriores</t>
  </si>
  <si>
    <t>58909005  ajuste al Peso</t>
  </si>
  <si>
    <t>Totales:</t>
  </si>
  <si>
    <t xml:space="preserve">Anticipo de Impuesto sobre la Renta (Saldo Cuenta #190701) </t>
  </si>
  <si>
    <t>RESULTADO MAS IMPTO. DE RENTA</t>
  </si>
  <si>
    <t>YHINA PAOLA LOMBANA LOPEZ</t>
  </si>
  <si>
    <t>JAIR BALAGUERA VARGAS</t>
  </si>
  <si>
    <t>GERENTE GENERAL</t>
  </si>
  <si>
    <t xml:space="preserve"> JEFE OFICINA ADMTIVA. Y FINANCIERA</t>
  </si>
  <si>
    <t xml:space="preserve">   MP. No. 40.983 - T.</t>
  </si>
  <si>
    <t>INDICADORES DE GESTION ENERO 01  A  DIC. 31 DE 2024</t>
  </si>
  <si>
    <t>1.- Indice de los gastos de administración y operación</t>
  </si>
  <si>
    <t>Concepto</t>
  </si>
  <si>
    <t>Valores</t>
  </si>
  <si>
    <t>INGRESOS BRUTOS</t>
  </si>
  <si>
    <t>GASTOS DE ADMIISTRACION</t>
  </si>
  <si>
    <t>GASTOS DE OPERACION</t>
  </si>
  <si>
    <t>CUOTAS PARTES Y MESADAS PENSIONALES</t>
  </si>
  <si>
    <t>VALOR DE LOS GASTOS DE ADMON. Y OPERACIÓN GENERADOS EN EL PERIODO</t>
  </si>
  <si>
    <t>VALOR DE LOS GASTOS DE ADMON. Y OPERACIÓN PERMITIDOS (15% INGRESOS BRUTOS)</t>
  </si>
  <si>
    <t>INDICE DE LOS GASTOS MAXIMOS DE ADMON. Y OPERACIÓN</t>
  </si>
  <si>
    <t>CALIFICACION</t>
  </si>
  <si>
    <t>INSATISFACTORIA</t>
  </si>
  <si>
    <t>Fuente: EEE. ENE. A DIC. 2024 - Acuerdo 108 de 2014</t>
  </si>
  <si>
    <t>2.- Indice de los Excedentes Mínimos de Operacioón</t>
  </si>
  <si>
    <t>DESCUENTIOS</t>
  </si>
  <si>
    <t>PREMIOS EN PODER DEL PUBLICO Y RESERVAS</t>
  </si>
  <si>
    <t>RENTA DEL MONOPOLIO</t>
  </si>
  <si>
    <t>IMPUESTO A FORANEAS</t>
  </si>
  <si>
    <t>GASTOS MAXIMOS DE ADMINISTRACION</t>
  </si>
  <si>
    <t>EXCEDENTES MINIMOS EXIGIDOS</t>
  </si>
  <si>
    <t>EXCEDENTES MINIMOS OBTENIDOS</t>
  </si>
  <si>
    <t>INDICE DE LOS EXCEDENTES MINIMOS</t>
  </si>
  <si>
    <t>INSATISFACTORIO</t>
  </si>
  <si>
    <t>3.- Indice de la Variación de la Relación VENTAS / EMISION</t>
  </si>
  <si>
    <t>VENTAS 2024 ENERO A DIC.</t>
  </si>
  <si>
    <t>EMISION 2024 ENERO A DIC.</t>
  </si>
  <si>
    <t>RELACION VENTAS / EMISION 2024</t>
  </si>
  <si>
    <t>VENTAS 2023 ENERO A DIC.</t>
  </si>
  <si>
    <t>EMISION 2023 ENERO A DIC.</t>
  </si>
  <si>
    <t>INDICE DE LA VARIACION DE LA RELACION VENTAS / EMISION</t>
  </si>
  <si>
    <t>INDICE VARIACION VENTAS / EMISION</t>
  </si>
  <si>
    <t>4.- INDICE DE INGRESOS</t>
  </si>
  <si>
    <t>INGRESOS BRUTOS OBTENIDOS 2024  (Ene.a Dic.)</t>
  </si>
  <si>
    <t>INGRESOS BRUTOS PUNTO EQUILIBRIO</t>
  </si>
  <si>
    <t>INDICE DE LOS INGRESOS BRUTOS</t>
  </si>
  <si>
    <t>CALIFICACIÓN</t>
  </si>
  <si>
    <t>5.- INDICE DE TRANSFERENCIA RENTA DEL MONOPOLIO</t>
  </si>
  <si>
    <t>RENTA GENERADA</t>
  </si>
  <si>
    <t>RENTA TRANSFERIDA (205)</t>
  </si>
  <si>
    <t>INDICE DE TRANSFERENCIA RENTA DEL MONOPOLIO</t>
  </si>
  <si>
    <t>CALIFICACIO´N</t>
  </si>
  <si>
    <t>SATISFACTORIA</t>
  </si>
  <si>
    <t>6.- INDICE DE TRANSFERENCIA IMPUESTO A FORÁNEAS</t>
  </si>
  <si>
    <t>IMPUESTO A FORANEAS GENERADA</t>
  </si>
  <si>
    <t>IMPUESTO A FORÁNEAS TRASNFERIDA</t>
  </si>
  <si>
    <t>INDICE DE TRANSFERENCIA IMPUESTO A FORANEAS</t>
  </si>
  <si>
    <t>7.- INDICE DE TRANSFERENCIA IMPUESTO A GANADORES</t>
  </si>
  <si>
    <t>IMPUESTO A GANADORES GENERADO</t>
  </si>
  <si>
    <t>IMPUESTO A GANADORES TRANSFERIDO</t>
  </si>
  <si>
    <t>INDICE DE TRANSFERENCIA IMPUESTO A GANADORES</t>
  </si>
  <si>
    <t>8.- INDICE DE TRANSFERENCIA UTILIDADES - NO APLICA POR PLAN DESEMPEÑO</t>
  </si>
  <si>
    <t>UTILIDADES ENE. A DIC. 2024</t>
  </si>
  <si>
    <t>CAPITALIZACION UTILIDADAD ENE. A  DIC. 2024</t>
  </si>
  <si>
    <t>UTILIDAD A TRANSFERIDA  ENE. A  DIC. .2024</t>
  </si>
  <si>
    <t>UTILIDAD TRANSFERIDA EN EL PERIODO (205)</t>
  </si>
  <si>
    <t>INDICE DE TRANSFERENCIA DE UTILIDADES</t>
  </si>
  <si>
    <t>NO APLICA</t>
  </si>
  <si>
    <t>9.- INDICE DE TRANSFERENCIA PREMIO CADUCOS</t>
  </si>
  <si>
    <t>PREMIOS CADUCOS (219)</t>
  </si>
  <si>
    <t>75% DE LOS PREMIOS CADUCOS</t>
  </si>
  <si>
    <t>PREMIOS CADUCOS TRANSFERIDO EN EL PERIÓDO</t>
  </si>
  <si>
    <t>INDICE DE TRANSFERENCIA PREMIOS CADUCOS</t>
  </si>
  <si>
    <t>Neiva, febrero 14 de 2024.-</t>
  </si>
  <si>
    <t>P.U.E. AREA ADMINISTRATIVA Y FINANCIERA</t>
  </si>
  <si>
    <t>DEL 01 DE ENERO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</si>
</sst>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0_);\(0\)"/>
    <numFmt numFmtId="166" formatCode="_(* #,##0.000_);_(* \(#,##0.000\);_(* &quot;-&quot;??_);_(@_)"/>
    <numFmt numFmtId="167" formatCode="_(* #,##0_);_(* \(#,##0\);_(* &quot;-&quot;_);_(@_)"/>
  </numFmts>
  <fonts count="25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theme="1"/>
      <name val="Arial"/>
      <family val="2"/>
    </font>
    <font>
      <sz val="10"/>
      <color indexed="8"/>
      <name val="Tahoma"/>
      <family val="2"/>
    </font>
    <font>
      <sz val="14"/>
      <color indexed="8"/>
      <name val="Tahoma"/>
      <family val="2"/>
    </font>
    <font>
      <b/>
      <sz val="12"/>
      <color indexed="8"/>
      <name val="Tahoma"/>
      <family val="2"/>
    </font>
    <font>
      <b/>
      <sz val="10"/>
      <color indexed="8"/>
      <name val="Tahoma"/>
      <family val="2"/>
    </font>
    <font>
      <b/>
      <sz val="9"/>
      <color indexed="8"/>
      <name val="Tahoma"/>
      <family val="2"/>
    </font>
    <font>
      <sz val="9"/>
      <color indexed="8"/>
      <name val="Tahoma"/>
      <family val="2"/>
    </font>
    <font>
      <sz val="9"/>
      <color theme="1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sz val="9"/>
      <color theme="0"/>
      <name val="Tahoma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0"/>
      <name val="Tahoma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Tahoma"/>
      <family val="2"/>
    </font>
    <font>
      <b/>
      <sz val="10"/>
      <color rgb="FFFF0000"/>
      <name val="Arial"/>
      <family val="2"/>
    </font>
    <font>
      <b/>
      <sz val="9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top"/>
    </xf>
    <xf numFmtId="164" fontId="1" fillId="0" borderId="0" applyFont="0" applyFill="0" applyBorder="0" applyAlignment="0" applyProtection="0">
      <alignment vertical="top"/>
    </xf>
    <xf numFmtId="167" fontId="1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>
      <alignment vertical="top"/>
    </xf>
  </cellStyleXfs>
  <cellXfs count="252">
    <xf numFmtId="0" fontId="0" fillId="0" borderId="0" xfId="0">
      <alignment vertical="top"/>
    </xf>
    <xf numFmtId="164" fontId="2" fillId="0" borderId="0" xfId="1" applyFont="1" applyBorder="1" applyAlignment="1"/>
    <xf numFmtId="0" fontId="3" fillId="0" borderId="0" xfId="0" applyFont="1">
      <alignment vertical="top"/>
    </xf>
    <xf numFmtId="165" fontId="2" fillId="0" borderId="4" xfId="1" applyNumberFormat="1" applyFont="1" applyFill="1" applyBorder="1" applyAlignment="1"/>
    <xf numFmtId="164" fontId="2" fillId="0" borderId="0" xfId="1" applyFont="1" applyFill="1" applyBorder="1" applyAlignment="1"/>
    <xf numFmtId="164" fontId="2" fillId="0" borderId="5" xfId="1" applyFont="1" applyFill="1" applyBorder="1" applyAlignment="1"/>
    <xf numFmtId="0" fontId="3" fillId="0" borderId="4" xfId="0" applyFont="1" applyBorder="1">
      <alignment vertical="top"/>
    </xf>
    <xf numFmtId="164" fontId="3" fillId="0" borderId="0" xfId="1" applyFont="1" applyBorder="1" applyAlignment="1">
      <alignment horizontal="right" vertical="top"/>
    </xf>
    <xf numFmtId="0" fontId="3" fillId="0" borderId="0" xfId="0" applyFont="1" applyBorder="1" applyAlignment="1">
      <alignment horizontal="right" vertical="top"/>
    </xf>
    <xf numFmtId="0" fontId="3" fillId="0" borderId="5" xfId="0" applyFont="1" applyBorder="1" applyAlignment="1">
      <alignment horizontal="right" vertical="top"/>
    </xf>
    <xf numFmtId="0" fontId="3" fillId="0" borderId="6" xfId="0" applyFont="1" applyBorder="1">
      <alignment vertical="top"/>
    </xf>
    <xf numFmtId="164" fontId="3" fillId="0" borderId="7" xfId="1" applyFont="1" applyBorder="1" applyAlignment="1">
      <alignment horizontal="right" vertical="top"/>
    </xf>
    <xf numFmtId="0" fontId="3" fillId="0" borderId="7" xfId="0" applyFont="1" applyBorder="1" applyAlignment="1">
      <alignment horizontal="right" vertical="top"/>
    </xf>
    <xf numFmtId="0" fontId="3" fillId="0" borderId="8" xfId="0" applyFont="1" applyBorder="1" applyAlignment="1">
      <alignment horizontal="right" vertical="top"/>
    </xf>
    <xf numFmtId="0" fontId="6" fillId="0" borderId="0" xfId="0" applyFont="1">
      <alignment vertical="top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164" fontId="6" fillId="0" borderId="16" xfId="1" applyFont="1" applyBorder="1" applyAlignment="1">
      <alignment horizontal="center" vertical="top" wrapText="1"/>
    </xf>
    <xf numFmtId="164" fontId="6" fillId="0" borderId="14" xfId="1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left" vertical="top"/>
    </xf>
    <xf numFmtId="164" fontId="7" fillId="0" borderId="22" xfId="1" applyFont="1" applyBorder="1" applyAlignment="1">
      <alignment horizontal="right" vertical="top"/>
    </xf>
    <xf numFmtId="4" fontId="7" fillId="0" borderId="23" xfId="0" applyNumberFormat="1" applyFont="1" applyBorder="1" applyAlignment="1">
      <alignment horizontal="right" vertical="top"/>
    </xf>
    <xf numFmtId="164" fontId="7" fillId="0" borderId="24" xfId="1" applyFont="1" applyBorder="1" applyAlignment="1">
      <alignment horizontal="right" vertical="top"/>
    </xf>
    <xf numFmtId="164" fontId="6" fillId="0" borderId="15" xfId="1" applyFont="1" applyBorder="1" applyAlignment="1">
      <alignment horizontal="right" vertical="top"/>
    </xf>
    <xf numFmtId="4" fontId="6" fillId="0" borderId="24" xfId="0" applyNumberFormat="1" applyFont="1" applyBorder="1" applyAlignment="1">
      <alignment horizontal="right" vertical="top"/>
    </xf>
    <xf numFmtId="164" fontId="6" fillId="0" borderId="23" xfId="1" applyFont="1" applyBorder="1" applyAlignment="1">
      <alignment horizontal="right" vertical="top"/>
    </xf>
    <xf numFmtId="164" fontId="6" fillId="0" borderId="24" xfId="1" applyFont="1" applyBorder="1" applyAlignment="1">
      <alignment horizontal="right" vertical="top"/>
    </xf>
    <xf numFmtId="164" fontId="6" fillId="0" borderId="25" xfId="1" applyFont="1" applyBorder="1" applyAlignment="1">
      <alignment horizontal="right" vertical="top"/>
    </xf>
    <xf numFmtId="164" fontId="7" fillId="0" borderId="15" xfId="0" applyNumberFormat="1" applyFont="1" applyBorder="1" applyAlignment="1">
      <alignment horizontal="right" vertical="top"/>
    </xf>
    <xf numFmtId="4" fontId="7" fillId="0" borderId="24" xfId="0" applyNumberFormat="1" applyFont="1" applyBorder="1" applyAlignment="1">
      <alignment horizontal="right" vertical="top"/>
    </xf>
    <xf numFmtId="164" fontId="6" fillId="0" borderId="0" xfId="0" applyNumberFormat="1" applyFont="1">
      <alignment vertical="top"/>
    </xf>
    <xf numFmtId="0" fontId="7" fillId="0" borderId="26" xfId="0" applyFont="1" applyBorder="1" applyAlignment="1">
      <alignment horizontal="left" vertical="top"/>
    </xf>
    <xf numFmtId="4" fontId="7" fillId="0" borderId="27" xfId="0" applyNumberFormat="1" applyFont="1" applyBorder="1" applyAlignment="1">
      <alignment horizontal="right" vertical="top"/>
    </xf>
    <xf numFmtId="164" fontId="7" fillId="0" borderId="28" xfId="1" applyFont="1" applyBorder="1" applyAlignment="1">
      <alignment horizontal="right" vertical="top"/>
    </xf>
    <xf numFmtId="164" fontId="6" fillId="0" borderId="29" xfId="1" applyFont="1" applyBorder="1" applyAlignment="1">
      <alignment horizontal="right" vertical="top"/>
    </xf>
    <xf numFmtId="4" fontId="6" fillId="0" borderId="28" xfId="0" applyNumberFormat="1" applyFont="1" applyBorder="1" applyAlignment="1">
      <alignment horizontal="right" vertical="top"/>
    </xf>
    <xf numFmtId="0" fontId="3" fillId="0" borderId="30" xfId="0" applyFont="1" applyBorder="1" applyAlignment="1">
      <alignment horizontal="right" vertical="top"/>
    </xf>
    <xf numFmtId="0" fontId="3" fillId="0" borderId="31" xfId="0" applyFont="1" applyBorder="1" applyAlignment="1">
      <alignment horizontal="right" vertical="top"/>
    </xf>
    <xf numFmtId="0" fontId="3" fillId="0" borderId="32" xfId="0" applyFont="1" applyBorder="1" applyAlignment="1">
      <alignment horizontal="right" vertical="top"/>
    </xf>
    <xf numFmtId="164" fontId="7" fillId="0" borderId="29" xfId="0" applyNumberFormat="1" applyFont="1" applyBorder="1" applyAlignment="1">
      <alignment horizontal="right" vertical="top"/>
    </xf>
    <xf numFmtId="4" fontId="7" fillId="0" borderId="28" xfId="0" applyNumberFormat="1" applyFont="1" applyBorder="1" applyAlignment="1">
      <alignment horizontal="right" vertical="top"/>
    </xf>
    <xf numFmtId="0" fontId="8" fillId="0" borderId="33" xfId="0" applyFont="1" applyBorder="1" applyAlignment="1">
      <alignment horizontal="left" vertical="top"/>
    </xf>
    <xf numFmtId="0" fontId="8" fillId="0" borderId="30" xfId="0" applyFont="1" applyBorder="1" applyAlignment="1">
      <alignment horizontal="right" vertical="top"/>
    </xf>
    <xf numFmtId="4" fontId="8" fillId="0" borderId="31" xfId="0" applyNumberFormat="1" applyFont="1" applyBorder="1" applyAlignment="1">
      <alignment horizontal="right" vertical="top"/>
    </xf>
    <xf numFmtId="164" fontId="8" fillId="0" borderId="32" xfId="1" applyFont="1" applyBorder="1" applyAlignment="1">
      <alignment horizontal="right" vertical="top"/>
    </xf>
    <xf numFmtId="164" fontId="8" fillId="0" borderId="31" xfId="0" applyNumberFormat="1" applyFont="1" applyBorder="1" applyAlignment="1">
      <alignment horizontal="right" vertical="top"/>
    </xf>
    <xf numFmtId="4" fontId="8" fillId="0" borderId="32" xfId="0" applyNumberFormat="1" applyFont="1" applyBorder="1" applyAlignment="1">
      <alignment horizontal="right" vertical="top"/>
    </xf>
    <xf numFmtId="164" fontId="3" fillId="0" borderId="30" xfId="1" applyFont="1" applyBorder="1" applyAlignment="1">
      <alignment horizontal="right" vertical="top"/>
    </xf>
    <xf numFmtId="0" fontId="8" fillId="0" borderId="31" xfId="0" applyFont="1" applyBorder="1" applyAlignment="1">
      <alignment horizontal="right" vertical="top"/>
    </xf>
    <xf numFmtId="164" fontId="8" fillId="0" borderId="31" xfId="1" applyFont="1" applyBorder="1" applyAlignment="1">
      <alignment horizontal="right" vertical="top"/>
    </xf>
    <xf numFmtId="4" fontId="8" fillId="0" borderId="30" xfId="0" applyNumberFormat="1" applyFont="1" applyBorder="1" applyAlignment="1">
      <alignment horizontal="right" vertical="top"/>
    </xf>
    <xf numFmtId="0" fontId="7" fillId="0" borderId="33" xfId="0" applyFont="1" applyBorder="1" applyAlignment="1">
      <alignment horizontal="left" vertical="top"/>
    </xf>
    <xf numFmtId="4" fontId="7" fillId="0" borderId="30" xfId="0" applyNumberFormat="1" applyFont="1" applyBorder="1" applyAlignment="1">
      <alignment horizontal="right" vertical="top"/>
    </xf>
    <xf numFmtId="4" fontId="7" fillId="0" borderId="31" xfId="0" applyNumberFormat="1" applyFont="1" applyBorder="1" applyAlignment="1">
      <alignment horizontal="right" vertical="top"/>
    </xf>
    <xf numFmtId="0" fontId="7" fillId="0" borderId="31" xfId="0" applyFont="1" applyBorder="1" applyAlignment="1">
      <alignment horizontal="right" vertical="top"/>
    </xf>
    <xf numFmtId="164" fontId="7" fillId="0" borderId="32" xfId="1" applyFont="1" applyBorder="1" applyAlignment="1">
      <alignment horizontal="right" vertical="top"/>
    </xf>
    <xf numFmtId="4" fontId="6" fillId="0" borderId="0" xfId="0" applyNumberFormat="1" applyFont="1">
      <alignment vertical="top"/>
    </xf>
    <xf numFmtId="4" fontId="3" fillId="0" borderId="0" xfId="0" applyNumberFormat="1" applyFont="1">
      <alignment vertical="top"/>
    </xf>
    <xf numFmtId="0" fontId="8" fillId="0" borderId="34" xfId="0" applyFont="1" applyBorder="1" applyAlignment="1">
      <alignment horizontal="left" vertical="top"/>
    </xf>
    <xf numFmtId="164" fontId="7" fillId="0" borderId="18" xfId="0" applyNumberFormat="1" applyFont="1" applyBorder="1" applyAlignment="1">
      <alignment horizontal="right" vertical="top"/>
    </xf>
    <xf numFmtId="164" fontId="7" fillId="0" borderId="19" xfId="0" applyNumberFormat="1" applyFont="1" applyBorder="1" applyAlignment="1">
      <alignment horizontal="right" vertical="top"/>
    </xf>
    <xf numFmtId="164" fontId="7" fillId="0" borderId="20" xfId="0" applyNumberFormat="1" applyFont="1" applyBorder="1" applyAlignment="1">
      <alignment horizontal="right" vertical="top"/>
    </xf>
    <xf numFmtId="0" fontId="6" fillId="0" borderId="19" xfId="0" applyFont="1" applyBorder="1" applyAlignment="1">
      <alignment horizontal="right" vertical="top"/>
    </xf>
    <xf numFmtId="164" fontId="7" fillId="0" borderId="23" xfId="0" applyNumberFormat="1" applyFont="1" applyBorder="1" applyAlignment="1">
      <alignment horizontal="right" vertical="top"/>
    </xf>
    <xf numFmtId="164" fontId="7" fillId="0" borderId="24" xfId="0" applyNumberFormat="1" applyFont="1" applyBorder="1" applyAlignment="1">
      <alignment horizontal="right" vertical="top"/>
    </xf>
    <xf numFmtId="43" fontId="6" fillId="0" borderId="0" xfId="0" applyNumberFormat="1" applyFont="1">
      <alignment vertical="top"/>
    </xf>
    <xf numFmtId="164" fontId="7" fillId="0" borderId="35" xfId="0" applyNumberFormat="1" applyFont="1" applyBorder="1" applyAlignment="1">
      <alignment horizontal="right" vertical="top"/>
    </xf>
    <xf numFmtId="164" fontId="7" fillId="0" borderId="36" xfId="0" applyNumberFormat="1" applyFont="1" applyBorder="1" applyAlignment="1">
      <alignment horizontal="right" vertical="top"/>
    </xf>
    <xf numFmtId="164" fontId="6" fillId="0" borderId="35" xfId="1" applyFont="1" applyBorder="1" applyAlignment="1">
      <alignment horizontal="right" vertical="top"/>
    </xf>
    <xf numFmtId="164" fontId="6" fillId="0" borderId="36" xfId="1" applyFont="1" applyBorder="1" applyAlignment="1">
      <alignment horizontal="right" vertical="top"/>
    </xf>
    <xf numFmtId="0" fontId="6" fillId="0" borderId="35" xfId="0" applyFont="1" applyBorder="1" applyAlignment="1">
      <alignment horizontal="right" vertical="top"/>
    </xf>
    <xf numFmtId="0" fontId="6" fillId="0" borderId="29" xfId="0" applyFont="1" applyBorder="1" applyAlignment="1">
      <alignment horizontal="right" vertical="top"/>
    </xf>
    <xf numFmtId="0" fontId="6" fillId="0" borderId="28" xfId="0" applyFont="1" applyBorder="1" applyAlignment="1">
      <alignment horizontal="right" vertical="top"/>
    </xf>
    <xf numFmtId="164" fontId="7" fillId="0" borderId="37" xfId="0" applyNumberFormat="1" applyFont="1" applyBorder="1" applyAlignment="1">
      <alignment horizontal="right" vertical="top"/>
    </xf>
    <xf numFmtId="164" fontId="7" fillId="0" borderId="38" xfId="0" applyNumberFormat="1" applyFont="1" applyBorder="1" applyAlignment="1">
      <alignment horizontal="right" vertical="top"/>
    </xf>
    <xf numFmtId="164" fontId="7" fillId="0" borderId="39" xfId="0" applyNumberFormat="1" applyFont="1" applyBorder="1" applyAlignment="1">
      <alignment horizontal="right" vertical="top"/>
    </xf>
    <xf numFmtId="164" fontId="7" fillId="0" borderId="30" xfId="0" applyNumberFormat="1" applyFont="1" applyBorder="1" applyAlignment="1">
      <alignment horizontal="right" vertical="top"/>
    </xf>
    <xf numFmtId="164" fontId="7" fillId="0" borderId="31" xfId="0" applyNumberFormat="1" applyFont="1" applyBorder="1" applyAlignment="1">
      <alignment horizontal="right" vertical="top"/>
    </xf>
    <xf numFmtId="164" fontId="7" fillId="0" borderId="33" xfId="0" applyNumberFormat="1" applyFont="1" applyBorder="1" applyAlignment="1">
      <alignment horizontal="right" vertical="top"/>
    </xf>
    <xf numFmtId="164" fontId="6" fillId="0" borderId="30" xfId="1" applyFont="1" applyBorder="1" applyAlignment="1">
      <alignment horizontal="right" vertical="top"/>
    </xf>
    <xf numFmtId="164" fontId="6" fillId="0" borderId="31" xfId="1" applyFont="1" applyBorder="1" applyAlignment="1">
      <alignment horizontal="right" vertical="top"/>
    </xf>
    <xf numFmtId="164" fontId="6" fillId="0" borderId="33" xfId="1" applyFont="1" applyBorder="1" applyAlignment="1">
      <alignment horizontal="right" vertical="top"/>
    </xf>
    <xf numFmtId="0" fontId="6" fillId="0" borderId="31" xfId="0" applyFont="1" applyBorder="1" applyAlignment="1">
      <alignment horizontal="right" vertical="top"/>
    </xf>
    <xf numFmtId="0" fontId="6" fillId="0" borderId="32" xfId="0" applyFont="1" applyBorder="1" applyAlignment="1">
      <alignment horizontal="right" vertical="top"/>
    </xf>
    <xf numFmtId="164" fontId="7" fillId="0" borderId="40" xfId="0" applyNumberFormat="1" applyFont="1" applyBorder="1" applyAlignment="1">
      <alignment horizontal="right" vertical="top"/>
    </xf>
    <xf numFmtId="164" fontId="7" fillId="0" borderId="31" xfId="1" applyFont="1" applyBorder="1" applyAlignment="1">
      <alignment horizontal="right" vertical="top"/>
    </xf>
    <xf numFmtId="164" fontId="7" fillId="0" borderId="32" xfId="0" applyNumberFormat="1" applyFont="1" applyBorder="1" applyAlignment="1">
      <alignment horizontal="right" vertical="top"/>
    </xf>
    <xf numFmtId="164" fontId="8" fillId="0" borderId="30" xfId="0" applyNumberFormat="1" applyFont="1" applyBorder="1" applyAlignment="1">
      <alignment horizontal="right" vertical="top"/>
    </xf>
    <xf numFmtId="164" fontId="8" fillId="0" borderId="33" xfId="1" applyFont="1" applyBorder="1" applyAlignment="1">
      <alignment horizontal="right" vertical="top"/>
    </xf>
    <xf numFmtId="164" fontId="3" fillId="0" borderId="33" xfId="1" applyFont="1" applyBorder="1" applyAlignment="1">
      <alignment horizontal="right" vertical="top"/>
    </xf>
    <xf numFmtId="164" fontId="8" fillId="0" borderId="40" xfId="0" applyNumberFormat="1" applyFont="1" applyBorder="1" applyAlignment="1">
      <alignment horizontal="right" vertical="top"/>
    </xf>
    <xf numFmtId="164" fontId="8" fillId="0" borderId="32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164" fontId="3" fillId="0" borderId="0" xfId="0" applyNumberFormat="1" applyFont="1">
      <alignment vertical="top"/>
    </xf>
    <xf numFmtId="0" fontId="3" fillId="0" borderId="33" xfId="0" applyFont="1" applyBorder="1" applyAlignment="1">
      <alignment horizontal="right" vertical="top"/>
    </xf>
    <xf numFmtId="164" fontId="3" fillId="0" borderId="0" xfId="1" applyFont="1" applyAlignment="1">
      <alignment horizontal="right" vertical="top"/>
    </xf>
    <xf numFmtId="164" fontId="8" fillId="0" borderId="30" xfId="0" applyNumberFormat="1" applyFont="1" applyFill="1" applyBorder="1" applyAlignment="1">
      <alignment horizontal="right" vertical="top"/>
    </xf>
    <xf numFmtId="0" fontId="6" fillId="0" borderId="33" xfId="0" applyFont="1" applyBorder="1" applyAlignment="1">
      <alignment horizontal="right" vertical="top"/>
    </xf>
    <xf numFmtId="0" fontId="6" fillId="0" borderId="30" xfId="0" applyFont="1" applyBorder="1" applyAlignment="1">
      <alignment horizontal="right" vertical="top"/>
    </xf>
    <xf numFmtId="164" fontId="8" fillId="0" borderId="33" xfId="0" applyNumberFormat="1" applyFont="1" applyBorder="1" applyAlignment="1">
      <alignment horizontal="right" vertical="top"/>
    </xf>
    <xf numFmtId="164" fontId="7" fillId="0" borderId="30" xfId="1" applyFont="1" applyBorder="1" applyAlignment="1">
      <alignment horizontal="right" vertical="top"/>
    </xf>
    <xf numFmtId="164" fontId="8" fillId="0" borderId="30" xfId="1" applyFont="1" applyBorder="1" applyAlignment="1">
      <alignment horizontal="right" vertical="top"/>
    </xf>
    <xf numFmtId="164" fontId="8" fillId="6" borderId="30" xfId="0" applyNumberFormat="1" applyFont="1" applyFill="1" applyBorder="1" applyAlignment="1">
      <alignment horizontal="right" vertical="top"/>
    </xf>
    <xf numFmtId="164" fontId="3" fillId="0" borderId="31" xfId="1" applyFont="1" applyBorder="1" applyAlignment="1">
      <alignment horizontal="right" vertical="top"/>
    </xf>
    <xf numFmtId="164" fontId="3" fillId="0" borderId="30" xfId="0" applyNumberFormat="1" applyFont="1" applyBorder="1" applyAlignment="1">
      <alignment horizontal="right" vertical="top"/>
    </xf>
    <xf numFmtId="164" fontId="8" fillId="6" borderId="31" xfId="0" applyNumberFormat="1" applyFont="1" applyFill="1" applyBorder="1" applyAlignment="1">
      <alignment horizontal="right" vertical="top"/>
    </xf>
    <xf numFmtId="164" fontId="3" fillId="0" borderId="32" xfId="0" applyNumberFormat="1" applyFont="1" applyBorder="1" applyAlignment="1">
      <alignment horizontal="right" vertical="top"/>
    </xf>
    <xf numFmtId="0" fontId="7" fillId="0" borderId="33" xfId="0" applyFont="1" applyFill="1" applyBorder="1" applyAlignment="1">
      <alignment horizontal="left" vertical="top"/>
    </xf>
    <xf numFmtId="164" fontId="6" fillId="0" borderId="33" xfId="0" applyNumberFormat="1" applyFont="1" applyBorder="1" applyAlignment="1">
      <alignment horizontal="right" vertical="top"/>
    </xf>
    <xf numFmtId="164" fontId="7" fillId="0" borderId="33" xfId="1" applyFont="1" applyBorder="1" applyAlignment="1">
      <alignment horizontal="right" vertical="top"/>
    </xf>
    <xf numFmtId="164" fontId="3" fillId="0" borderId="31" xfId="0" applyNumberFormat="1" applyFont="1" applyBorder="1" applyAlignment="1">
      <alignment horizontal="right" vertical="top"/>
    </xf>
    <xf numFmtId="164" fontId="3" fillId="0" borderId="33" xfId="0" applyNumberFormat="1" applyFont="1" applyBorder="1" applyAlignment="1">
      <alignment horizontal="right" vertical="top"/>
    </xf>
    <xf numFmtId="0" fontId="8" fillId="0" borderId="33" xfId="0" applyFont="1" applyBorder="1" applyAlignment="1">
      <alignment horizontal="right" vertical="top"/>
    </xf>
    <xf numFmtId="164" fontId="3" fillId="0" borderId="30" xfId="0" applyNumberFormat="1" applyFont="1" applyBorder="1">
      <alignment vertical="top"/>
    </xf>
    <xf numFmtId="164" fontId="3" fillId="0" borderId="31" xfId="0" applyNumberFormat="1" applyFont="1" applyBorder="1">
      <alignment vertical="top"/>
    </xf>
    <xf numFmtId="0" fontId="8" fillId="0" borderId="41" xfId="0" applyFont="1" applyBorder="1" applyAlignment="1">
      <alignment horizontal="left" vertical="top"/>
    </xf>
    <xf numFmtId="0" fontId="8" fillId="0" borderId="42" xfId="0" applyFont="1" applyBorder="1" applyAlignment="1">
      <alignment horizontal="right" vertical="top"/>
    </xf>
    <xf numFmtId="0" fontId="8" fillId="0" borderId="43" xfId="0" applyFont="1" applyBorder="1" applyAlignment="1">
      <alignment horizontal="right" vertical="top"/>
    </xf>
    <xf numFmtId="0" fontId="8" fillId="0" borderId="41" xfId="0" applyFont="1" applyBorder="1" applyAlignment="1">
      <alignment horizontal="right" vertical="top"/>
    </xf>
    <xf numFmtId="0" fontId="3" fillId="0" borderId="43" xfId="0" applyFont="1" applyBorder="1" applyAlignment="1">
      <alignment horizontal="right" vertical="top"/>
    </xf>
    <xf numFmtId="0" fontId="3" fillId="0" borderId="41" xfId="0" applyFont="1" applyBorder="1" applyAlignment="1">
      <alignment horizontal="right" vertical="top"/>
    </xf>
    <xf numFmtId="164" fontId="8" fillId="0" borderId="42" xfId="1" applyFont="1" applyBorder="1" applyAlignment="1">
      <alignment horizontal="right" vertical="top"/>
    </xf>
    <xf numFmtId="164" fontId="8" fillId="0" borderId="44" xfId="0" applyNumberFormat="1" applyFont="1" applyBorder="1" applyAlignment="1">
      <alignment horizontal="right" vertical="top"/>
    </xf>
    <xf numFmtId="0" fontId="6" fillId="0" borderId="6" xfId="0" applyFont="1" applyBorder="1" applyAlignment="1">
      <alignment horizontal="center" vertical="top" wrapText="1" readingOrder="1"/>
    </xf>
    <xf numFmtId="164" fontId="7" fillId="0" borderId="13" xfId="1" applyFont="1" applyBorder="1" applyAlignment="1">
      <alignment horizontal="right" vertical="top"/>
    </xf>
    <xf numFmtId="4" fontId="7" fillId="0" borderId="45" xfId="0" applyNumberFormat="1" applyFont="1" applyBorder="1" applyAlignment="1">
      <alignment horizontal="right" vertical="top"/>
    </xf>
    <xf numFmtId="164" fontId="7" fillId="2" borderId="8" xfId="1" applyFont="1" applyFill="1" applyBorder="1" applyAlignment="1">
      <alignment horizontal="right" vertical="top"/>
    </xf>
    <xf numFmtId="4" fontId="7" fillId="0" borderId="13" xfId="0" applyNumberFormat="1" applyFont="1" applyBorder="1" applyAlignment="1">
      <alignment horizontal="right" vertical="top"/>
    </xf>
    <xf numFmtId="164" fontId="6" fillId="2" borderId="13" xfId="0" applyNumberFormat="1" applyFont="1" applyFill="1" applyBorder="1" applyAlignment="1">
      <alignment horizontal="right" vertical="top"/>
    </xf>
    <xf numFmtId="4" fontId="6" fillId="2" borderId="13" xfId="0" applyNumberFormat="1" applyFont="1" applyFill="1" applyBorder="1" applyAlignment="1">
      <alignment horizontal="right" vertical="top"/>
    </xf>
    <xf numFmtId="164" fontId="3" fillId="0" borderId="0" xfId="1" applyFont="1">
      <alignment vertical="top"/>
    </xf>
    <xf numFmtId="0" fontId="9" fillId="0" borderId="33" xfId="0" applyFont="1" applyFill="1" applyBorder="1" applyAlignment="1"/>
    <xf numFmtId="4" fontId="8" fillId="0" borderId="30" xfId="0" applyNumberFormat="1" applyFont="1" applyFill="1" applyBorder="1" applyAlignment="1">
      <alignment horizontal="right" vertical="top" wrapText="1"/>
    </xf>
    <xf numFmtId="164" fontId="10" fillId="0" borderId="31" xfId="1" applyFont="1" applyFill="1" applyBorder="1" applyAlignment="1">
      <alignment horizontal="right"/>
    </xf>
    <xf numFmtId="164" fontId="11" fillId="0" borderId="32" xfId="1" applyFont="1" applyFill="1" applyBorder="1" applyAlignment="1">
      <alignment horizontal="right"/>
    </xf>
    <xf numFmtId="164" fontId="9" fillId="0" borderId="38" xfId="1" applyFont="1" applyFill="1" applyBorder="1" applyAlignment="1">
      <alignment horizontal="right"/>
    </xf>
    <xf numFmtId="164" fontId="12" fillId="7" borderId="39" xfId="1" applyFont="1" applyFill="1" applyBorder="1" applyAlignment="1">
      <alignment horizontal="right"/>
    </xf>
    <xf numFmtId="164" fontId="9" fillId="6" borderId="35" xfId="1" applyFont="1" applyFill="1" applyBorder="1" applyAlignment="1">
      <alignment horizontal="right"/>
    </xf>
    <xf numFmtId="164" fontId="12" fillId="7" borderId="28" xfId="1" applyFont="1" applyFill="1" applyBorder="1" applyAlignment="1">
      <alignment horizontal="right"/>
    </xf>
    <xf numFmtId="164" fontId="13" fillId="0" borderId="46" xfId="1" applyFont="1" applyFill="1" applyBorder="1" applyAlignment="1">
      <alignment horizontal="right"/>
    </xf>
    <xf numFmtId="164" fontId="14" fillId="0" borderId="46" xfId="1" applyFont="1" applyFill="1" applyBorder="1" applyAlignment="1">
      <alignment horizontal="right"/>
    </xf>
    <xf numFmtId="164" fontId="15" fillId="7" borderId="41" xfId="1" applyFont="1" applyFill="1" applyBorder="1" applyAlignment="1">
      <alignment horizontal="center"/>
    </xf>
    <xf numFmtId="164" fontId="11" fillId="0" borderId="42" xfId="1" applyFont="1" applyFill="1" applyBorder="1" applyAlignment="1">
      <alignment horizontal="right"/>
    </xf>
    <xf numFmtId="164" fontId="11" fillId="0" borderId="43" xfId="1" applyFont="1" applyFill="1" applyBorder="1" applyAlignment="1">
      <alignment horizontal="right"/>
    </xf>
    <xf numFmtId="164" fontId="11" fillId="0" borderId="44" xfId="1" applyFont="1" applyFill="1" applyBorder="1" applyAlignment="1">
      <alignment horizontal="right"/>
    </xf>
    <xf numFmtId="164" fontId="10" fillId="0" borderId="42" xfId="1" applyFont="1" applyFill="1" applyBorder="1" applyAlignment="1">
      <alignment horizontal="right"/>
    </xf>
    <xf numFmtId="164" fontId="16" fillId="0" borderId="46" xfId="1" applyFont="1" applyBorder="1" applyAlignment="1">
      <alignment horizontal="right"/>
    </xf>
    <xf numFmtId="164" fontId="17" fillId="0" borderId="46" xfId="1" applyFont="1" applyBorder="1" applyAlignment="1">
      <alignment horizontal="right"/>
    </xf>
    <xf numFmtId="164" fontId="18" fillId="0" borderId="0" xfId="1" applyFont="1" applyFill="1" applyAlignment="1">
      <alignment horizontal="right"/>
    </xf>
    <xf numFmtId="164" fontId="2" fillId="0" borderId="0" xfId="1" applyFont="1" applyAlignment="1"/>
    <xf numFmtId="164" fontId="18" fillId="0" borderId="0" xfId="1" applyFont="1" applyAlignment="1">
      <alignment horizontal="right"/>
    </xf>
    <xf numFmtId="164" fontId="2" fillId="0" borderId="0" xfId="1" applyFont="1" applyAlignment="1">
      <alignment horizontal="left"/>
    </xf>
    <xf numFmtId="164" fontId="18" fillId="0" borderId="0" xfId="1" applyFont="1" applyAlignment="1"/>
    <xf numFmtId="164" fontId="2" fillId="0" borderId="0" xfId="1" applyFont="1" applyFill="1" applyAlignment="1"/>
    <xf numFmtId="164" fontId="18" fillId="0" borderId="0" xfId="1" applyFont="1" applyAlignment="1">
      <alignment horizontal="left"/>
    </xf>
    <xf numFmtId="164" fontId="18" fillId="0" borderId="0" xfId="1" applyFont="1" applyFill="1" applyAlignment="1"/>
    <xf numFmtId="0" fontId="6" fillId="0" borderId="0" xfId="0" applyFont="1" applyAlignment="1">
      <alignment horizontal="left" vertical="top"/>
    </xf>
    <xf numFmtId="164" fontId="3" fillId="0" borderId="0" xfId="0" applyNumberFormat="1" applyFont="1" applyAlignment="1">
      <alignment horizontal="right" vertical="top"/>
    </xf>
    <xf numFmtId="4" fontId="3" fillId="0" borderId="0" xfId="0" applyNumberFormat="1" applyFont="1" applyAlignment="1">
      <alignment horizontal="right" vertical="top"/>
    </xf>
    <xf numFmtId="164" fontId="6" fillId="6" borderId="0" xfId="1" applyFont="1" applyFill="1" applyBorder="1" applyAlignment="1">
      <alignment horizontal="right" vertical="top"/>
    </xf>
    <xf numFmtId="0" fontId="6" fillId="0" borderId="46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3" fillId="0" borderId="35" xfId="0" applyFont="1" applyBorder="1">
      <alignment vertical="top"/>
    </xf>
    <xf numFmtId="164" fontId="3" fillId="0" borderId="28" xfId="0" applyNumberFormat="1" applyFont="1" applyBorder="1" applyAlignment="1">
      <alignment horizontal="right" vertical="top"/>
    </xf>
    <xf numFmtId="0" fontId="3" fillId="0" borderId="30" xfId="0" applyFont="1" applyBorder="1">
      <alignment vertical="top"/>
    </xf>
    <xf numFmtId="43" fontId="3" fillId="0" borderId="32" xfId="0" applyNumberFormat="1" applyFont="1" applyBorder="1" applyAlignment="1">
      <alignment horizontal="right" vertical="top"/>
    </xf>
    <xf numFmtId="0" fontId="19" fillId="0" borderId="30" xfId="0" applyFont="1" applyBorder="1" applyAlignment="1">
      <alignment vertical="center" wrapText="1"/>
    </xf>
    <xf numFmtId="43" fontId="3" fillId="0" borderId="32" xfId="0" applyNumberFormat="1" applyFont="1" applyBorder="1" applyAlignment="1">
      <alignment horizontal="right" vertical="top" wrapText="1"/>
    </xf>
    <xf numFmtId="10" fontId="6" fillId="0" borderId="46" xfId="3" applyNumberFormat="1" applyFont="1" applyBorder="1" applyAlignment="1">
      <alignment horizontal="right" vertical="top"/>
    </xf>
    <xf numFmtId="164" fontId="3" fillId="0" borderId="32" xfId="1" applyFont="1" applyBorder="1" applyAlignment="1">
      <alignment horizontal="right" vertical="top"/>
    </xf>
    <xf numFmtId="43" fontId="6" fillId="0" borderId="46" xfId="0" applyNumberFormat="1" applyFont="1" applyBorder="1" applyAlignment="1">
      <alignment horizontal="right" vertical="top"/>
    </xf>
    <xf numFmtId="9" fontId="6" fillId="0" borderId="12" xfId="3" applyFont="1" applyBorder="1" applyAlignment="1">
      <alignment horizontal="right" vertical="top"/>
    </xf>
    <xf numFmtId="0" fontId="19" fillId="0" borderId="42" xfId="0" applyFont="1" applyBorder="1" applyAlignment="1">
      <alignment vertical="center" wrapText="1"/>
    </xf>
    <xf numFmtId="43" fontId="6" fillId="0" borderId="47" xfId="0" applyNumberFormat="1" applyFont="1" applyBorder="1" applyAlignment="1">
      <alignment horizontal="right" vertical="top"/>
    </xf>
    <xf numFmtId="0" fontId="6" fillId="0" borderId="23" xfId="0" applyFont="1" applyBorder="1">
      <alignment vertical="top"/>
    </xf>
    <xf numFmtId="0" fontId="20" fillId="3" borderId="24" xfId="0" applyFont="1" applyFill="1" applyBorder="1" applyAlignment="1">
      <alignment horizontal="right" vertical="top"/>
    </xf>
    <xf numFmtId="0" fontId="19" fillId="0" borderId="0" xfId="0" applyFont="1">
      <alignment vertical="top"/>
    </xf>
    <xf numFmtId="0" fontId="3" fillId="0" borderId="0" xfId="0" applyFont="1" applyBorder="1">
      <alignment vertical="top"/>
    </xf>
    <xf numFmtId="10" fontId="3" fillId="0" borderId="0" xfId="3" applyNumberFormat="1" applyFont="1" applyAlignment="1">
      <alignment horizontal="right" vertical="top"/>
    </xf>
    <xf numFmtId="0" fontId="3" fillId="0" borderId="27" xfId="0" applyFont="1" applyBorder="1">
      <alignment vertical="top"/>
    </xf>
    <xf numFmtId="164" fontId="3" fillId="0" borderId="27" xfId="0" applyNumberFormat="1" applyFont="1" applyBorder="1" applyAlignment="1">
      <alignment horizontal="right" vertical="top"/>
    </xf>
    <xf numFmtId="0" fontId="3" fillId="0" borderId="31" xfId="0" applyFont="1" applyBorder="1">
      <alignment vertical="top"/>
    </xf>
    <xf numFmtId="4" fontId="3" fillId="0" borderId="31" xfId="0" applyNumberFormat="1" applyFont="1" applyBorder="1" applyAlignment="1">
      <alignment horizontal="right" vertical="top"/>
    </xf>
    <xf numFmtId="43" fontId="3" fillId="0" borderId="31" xfId="0" applyNumberFormat="1" applyFont="1" applyBorder="1" applyAlignment="1">
      <alignment horizontal="right" vertical="top"/>
    </xf>
    <xf numFmtId="0" fontId="3" fillId="0" borderId="31" xfId="0" applyFont="1" applyBorder="1" applyAlignment="1">
      <alignment vertical="top" wrapText="1"/>
    </xf>
    <xf numFmtId="164" fontId="3" fillId="0" borderId="31" xfId="0" applyNumberFormat="1" applyFont="1" applyBorder="1" applyAlignment="1">
      <alignment horizontal="right" vertical="top" wrapText="1"/>
    </xf>
    <xf numFmtId="0" fontId="6" fillId="0" borderId="48" xfId="0" applyFont="1" applyBorder="1">
      <alignment vertical="top"/>
    </xf>
    <xf numFmtId="10" fontId="6" fillId="0" borderId="48" xfId="3" applyNumberFormat="1" applyFont="1" applyBorder="1" applyAlignment="1">
      <alignment horizontal="right" vertical="top"/>
    </xf>
    <xf numFmtId="0" fontId="6" fillId="0" borderId="46" xfId="0" applyFont="1" applyBorder="1">
      <alignment vertical="top"/>
    </xf>
    <xf numFmtId="0" fontId="20" fillId="3" borderId="46" xfId="0" applyFont="1" applyFill="1" applyBorder="1" applyAlignment="1">
      <alignment horizontal="right" vertical="top"/>
    </xf>
    <xf numFmtId="10" fontId="3" fillId="0" borderId="32" xfId="3" applyNumberFormat="1" applyFont="1" applyBorder="1" applyAlignment="1">
      <alignment horizontal="right" vertical="top"/>
    </xf>
    <xf numFmtId="0" fontId="3" fillId="0" borderId="30" xfId="0" applyFont="1" applyBorder="1" applyAlignment="1">
      <alignment vertical="top" wrapText="1"/>
    </xf>
    <xf numFmtId="164" fontId="3" fillId="0" borderId="32" xfId="1" applyFont="1" applyBorder="1" applyAlignment="1">
      <alignment horizontal="right" vertical="top" wrapText="1"/>
    </xf>
    <xf numFmtId="0" fontId="3" fillId="0" borderId="48" xfId="0" applyFont="1" applyBorder="1">
      <alignment vertical="top"/>
    </xf>
    <xf numFmtId="166" fontId="6" fillId="3" borderId="48" xfId="1" applyNumberFormat="1" applyFont="1" applyFill="1" applyBorder="1" applyAlignment="1">
      <alignment horizontal="right" vertical="top"/>
    </xf>
    <xf numFmtId="0" fontId="19" fillId="3" borderId="10" xfId="0" applyFont="1" applyFill="1" applyBorder="1">
      <alignment vertical="top"/>
    </xf>
    <xf numFmtId="0" fontId="0" fillId="3" borderId="12" xfId="0" applyFill="1" applyBorder="1">
      <alignment vertical="top"/>
    </xf>
    <xf numFmtId="0" fontId="19" fillId="0" borderId="9" xfId="0" applyFont="1" applyBorder="1" applyAlignment="1">
      <alignment horizontal="center" vertical="top"/>
    </xf>
    <xf numFmtId="0" fontId="19" fillId="0" borderId="35" xfId="0" applyFont="1" applyBorder="1" applyAlignment="1">
      <alignment vertical="center"/>
    </xf>
    <xf numFmtId="167" fontId="19" fillId="0" borderId="28" xfId="2" applyFont="1" applyBorder="1" applyAlignment="1">
      <alignment vertical="center"/>
    </xf>
    <xf numFmtId="167" fontId="19" fillId="0" borderId="32" xfId="2" applyFont="1" applyBorder="1" applyAlignment="1">
      <alignment vertical="center"/>
    </xf>
    <xf numFmtId="0" fontId="19" fillId="0" borderId="30" xfId="0" applyFont="1" applyBorder="1" applyAlignment="1">
      <alignment vertical="center"/>
    </xf>
    <xf numFmtId="164" fontId="19" fillId="0" borderId="32" xfId="1" applyFont="1" applyBorder="1" applyAlignment="1">
      <alignment vertical="center"/>
    </xf>
    <xf numFmtId="0" fontId="19" fillId="0" borderId="42" xfId="0" applyFont="1" applyBorder="1" applyAlignment="1">
      <alignment vertical="center"/>
    </xf>
    <xf numFmtId="167" fontId="21" fillId="3" borderId="44" xfId="2" applyFont="1" applyFill="1" applyBorder="1" applyAlignment="1">
      <alignment horizontal="center" vertical="center"/>
    </xf>
    <xf numFmtId="167" fontId="19" fillId="3" borderId="44" xfId="2" applyFont="1" applyFill="1" applyBorder="1" applyAlignment="1">
      <alignment horizontal="center" vertical="center"/>
    </xf>
    <xf numFmtId="0" fontId="22" fillId="3" borderId="10" xfId="0" applyFont="1" applyFill="1" applyBorder="1">
      <alignment vertical="top"/>
    </xf>
    <xf numFmtId="0" fontId="19" fillId="0" borderId="38" xfId="0" applyFont="1" applyBorder="1" applyAlignment="1">
      <alignment vertical="center"/>
    </xf>
    <xf numFmtId="167" fontId="19" fillId="0" borderId="39" xfId="2" applyFont="1" applyBorder="1" applyAlignment="1">
      <alignment vertical="center"/>
    </xf>
    <xf numFmtId="167" fontId="19" fillId="0" borderId="32" xfId="2" applyFont="1" applyBorder="1" applyAlignment="1">
      <alignment horizontal="right" vertical="center"/>
    </xf>
    <xf numFmtId="167" fontId="19" fillId="2" borderId="44" xfId="2" applyFont="1" applyFill="1" applyBorder="1" applyAlignment="1">
      <alignment horizontal="center" vertical="center"/>
    </xf>
    <xf numFmtId="167" fontId="19" fillId="0" borderId="28" xfId="2" applyFont="1" applyBorder="1" applyAlignment="1">
      <alignment horizontal="right" vertical="center"/>
    </xf>
    <xf numFmtId="0" fontId="19" fillId="0" borderId="0" xfId="0" applyFont="1" applyBorder="1" applyAlignment="1">
      <alignment vertical="center"/>
    </xf>
    <xf numFmtId="167" fontId="19" fillId="6" borderId="0" xfId="2" applyFont="1" applyFill="1" applyBorder="1" applyAlignment="1">
      <alignment horizontal="center" vertical="center"/>
    </xf>
    <xf numFmtId="0" fontId="1" fillId="0" borderId="0" xfId="0" applyFont="1">
      <alignment vertical="top"/>
    </xf>
    <xf numFmtId="164" fontId="23" fillId="0" borderId="0" xfId="1" applyFont="1" applyAlignment="1">
      <alignment horizontal="left"/>
    </xf>
    <xf numFmtId="164" fontId="24" fillId="0" borderId="0" xfId="1" applyFont="1" applyAlignment="1">
      <alignment horizontal="left"/>
    </xf>
    <xf numFmtId="43" fontId="3" fillId="0" borderId="0" xfId="0" applyNumberFormat="1" applyFont="1">
      <alignment vertical="top"/>
    </xf>
    <xf numFmtId="164" fontId="6" fillId="3" borderId="10" xfId="1" applyFont="1" applyFill="1" applyBorder="1" applyAlignment="1">
      <alignment horizontal="center" vertical="top"/>
    </xf>
    <xf numFmtId="164" fontId="6" fillId="3" borderId="11" xfId="1" applyFont="1" applyFill="1" applyBorder="1" applyAlignment="1">
      <alignment horizontal="center" vertical="top"/>
    </xf>
    <xf numFmtId="164" fontId="6" fillId="3" borderId="12" xfId="1" applyFont="1" applyFill="1" applyBorder="1" applyAlignment="1">
      <alignment horizontal="center" vertical="top"/>
    </xf>
    <xf numFmtId="0" fontId="6" fillId="4" borderId="10" xfId="0" applyFont="1" applyFill="1" applyBorder="1" applyAlignment="1">
      <alignment horizontal="center" vertical="top"/>
    </xf>
    <xf numFmtId="0" fontId="6" fillId="4" borderId="11" xfId="0" applyFont="1" applyFill="1" applyBorder="1" applyAlignment="1">
      <alignment horizontal="center" vertical="top"/>
    </xf>
    <xf numFmtId="0" fontId="6" fillId="4" borderId="12" xfId="0" applyFont="1" applyFill="1" applyBorder="1" applyAlignment="1">
      <alignment horizontal="center" vertical="top"/>
    </xf>
    <xf numFmtId="0" fontId="6" fillId="5" borderId="10" xfId="0" applyFont="1" applyFill="1" applyBorder="1" applyAlignment="1">
      <alignment horizontal="center" vertical="top"/>
    </xf>
    <xf numFmtId="0" fontId="6" fillId="5" borderId="11" xfId="0" applyFont="1" applyFill="1" applyBorder="1" applyAlignment="1">
      <alignment horizontal="center" vertical="top"/>
    </xf>
    <xf numFmtId="0" fontId="6" fillId="5" borderId="12" xfId="0" applyFont="1" applyFill="1" applyBorder="1" applyAlignment="1">
      <alignment horizontal="center" vertical="top"/>
    </xf>
    <xf numFmtId="164" fontId="2" fillId="0" borderId="1" xfId="1" applyFont="1" applyBorder="1" applyAlignment="1">
      <alignment horizontal="center"/>
    </xf>
    <xf numFmtId="164" fontId="2" fillId="0" borderId="2" xfId="1" applyFont="1" applyBorder="1" applyAlignment="1">
      <alignment horizontal="center"/>
    </xf>
    <xf numFmtId="164" fontId="2" fillId="0" borderId="3" xfId="1" applyFont="1" applyBorder="1" applyAlignment="1">
      <alignment horizontal="center"/>
    </xf>
    <xf numFmtId="164" fontId="2" fillId="0" borderId="4" xfId="1" applyFont="1" applyBorder="1" applyAlignment="1">
      <alignment horizontal="center"/>
    </xf>
    <xf numFmtId="164" fontId="2" fillId="0" borderId="0" xfId="1" applyFont="1" applyBorder="1" applyAlignment="1">
      <alignment horizontal="center"/>
    </xf>
    <xf numFmtId="164" fontId="2" fillId="0" borderId="5" xfId="1" applyFont="1" applyBorder="1" applyAlignment="1">
      <alignment horizontal="center"/>
    </xf>
    <xf numFmtId="164" fontId="2" fillId="0" borderId="4" xfId="1" applyFont="1" applyFill="1" applyBorder="1" applyAlignment="1">
      <alignment horizontal="center"/>
    </xf>
    <xf numFmtId="164" fontId="2" fillId="0" borderId="0" xfId="1" applyFont="1" applyFill="1" applyBorder="1" applyAlignment="1">
      <alignment horizontal="center"/>
    </xf>
    <xf numFmtId="164" fontId="2" fillId="0" borderId="5" xfId="1" applyFont="1" applyFill="1" applyBorder="1" applyAlignment="1">
      <alignment horizontal="center"/>
    </xf>
    <xf numFmtId="0" fontId="4" fillId="0" borderId="0" xfId="0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0" fontId="3" fillId="0" borderId="0" xfId="0" applyFont="1" applyAlignment="1">
      <alignment horizontal="right" vertical="top" wrapText="1"/>
    </xf>
    <xf numFmtId="0" fontId="6" fillId="0" borderId="10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top"/>
    </xf>
    <xf numFmtId="0" fontId="6" fillId="2" borderId="11" xfId="0" applyFont="1" applyFill="1" applyBorder="1" applyAlignment="1">
      <alignment horizontal="center" vertical="top"/>
    </xf>
    <xf numFmtId="0" fontId="6" fillId="2" borderId="12" xfId="0" applyFont="1" applyFill="1" applyBorder="1" applyAlignment="1">
      <alignment horizontal="center" vertical="top"/>
    </xf>
  </cellXfs>
  <cellStyles count="4">
    <cellStyle name="Millares" xfId="1" builtinId="3"/>
    <cellStyle name="Millares [0]" xfId="2" builtinId="6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85725</xdr:rowOff>
    </xdr:from>
    <xdr:to>
      <xdr:col>0</xdr:col>
      <xdr:colOff>1743075</xdr:colOff>
      <xdr:row>6</xdr:row>
      <xdr:rowOff>19050</xdr:rowOff>
    </xdr:to>
    <xdr:pic>
      <xdr:nvPicPr>
        <xdr:cNvPr id="2" name="Picture 102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85725"/>
          <a:ext cx="154305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133350</xdr:colOff>
      <xdr:row>1</xdr:row>
      <xdr:rowOff>28575</xdr:rowOff>
    </xdr:from>
    <xdr:to>
      <xdr:col>15</xdr:col>
      <xdr:colOff>723900</xdr:colOff>
      <xdr:row>5</xdr:row>
      <xdr:rowOff>209550</xdr:rowOff>
    </xdr:to>
    <xdr:pic>
      <xdr:nvPicPr>
        <xdr:cNvPr id="3" name="5 Imagen" descr="Captura-completo-nuev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40525" y="342900"/>
          <a:ext cx="19240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409575</xdr:colOff>
      <xdr:row>174</xdr:row>
      <xdr:rowOff>161925</xdr:rowOff>
    </xdr:from>
    <xdr:to>
      <xdr:col>0</xdr:col>
      <xdr:colOff>2247900</xdr:colOff>
      <xdr:row>179</xdr:row>
      <xdr:rowOff>38100</xdr:rowOff>
    </xdr:to>
    <xdr:pic>
      <xdr:nvPicPr>
        <xdr:cNvPr id="4" name="Picture 102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9937075"/>
          <a:ext cx="18383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DICIEMBRE%20DE%202024/ESTADOS%20FINANCIEROS%20A%20DIC.%2031%20DE%202024/INDICDORES%20%20ENERO%20A%20DIC.-2024%20LOTERIA%20DEL%20HUIL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SCRITORIO%20ENERO%202023\COLJUEGOS%202023\COLJUEGOS%20INDICADORES%20A&#209;O%202022%20LOT.%20HUILA\INDICADORES%20-%20ESTADO%20DE%20RESULTADO%20INTEGRAL%20POR%20NEGOCIO%20DE%20ENERO%20A%20DIC.-2022%20LOTERIA%20DEL%20HUIL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SCRITORIO%20JUNIO%20DE%202023\MARZO%202023%20LOT.%20HUILA\INDICADORES%20A%20MAR.%202023%20LOT.%20HUILA\INDICADORES%20ENERO%20A%20MARZO-2023%20LOTERIA%20DEL%20HUI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ÑO 2024"/>
      <sheetName val="Hoja2"/>
      <sheetName val="transf. salud"/>
      <sheetName val="AÑO 2023"/>
    </sheetNames>
    <sheetDataSet>
      <sheetData sheetId="0"/>
      <sheetData sheetId="1">
        <row r="13">
          <cell r="J13" t="str">
            <v>866.041.492,00</v>
          </cell>
        </row>
      </sheetData>
      <sheetData sheetId="2"/>
      <sheetData sheetId="3">
        <row r="13">
          <cell r="E13">
            <v>16700994000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oja1"/>
      <sheetName val="Hoja3"/>
      <sheetName val="Hoja2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oja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autoPageBreaks="0"/>
  </sheetPr>
  <dimension ref="A1:T305"/>
  <sheetViews>
    <sheetView showGridLines="0" tabSelected="1" topLeftCell="G141" workbookViewId="0">
      <selection activeCell="T187" sqref="T187"/>
    </sheetView>
  </sheetViews>
  <sheetFormatPr baseColWidth="10" defaultColWidth="6.85546875" defaultRowHeight="12.75" customHeight="1" x14ac:dyDescent="0.2"/>
  <cols>
    <col min="1" max="1" width="49" style="2" customWidth="1"/>
    <col min="2" max="2" width="21.28515625" style="98" customWidth="1"/>
    <col min="3" max="3" width="18.7109375" style="98" customWidth="1"/>
    <col min="4" max="4" width="20.42578125" style="101" customWidth="1"/>
    <col min="5" max="5" width="20.7109375" style="101" customWidth="1"/>
    <col min="6" max="6" width="17.85546875" style="98" customWidth="1"/>
    <col min="7" max="7" width="19.5703125" style="98" customWidth="1"/>
    <col min="8" max="8" width="16.5703125" style="98" customWidth="1"/>
    <col min="9" max="9" width="18.7109375" style="98" customWidth="1"/>
    <col min="10" max="10" width="17.42578125" style="98" customWidth="1"/>
    <col min="11" max="11" width="16.140625" style="98" customWidth="1"/>
    <col min="12" max="12" width="18.28515625" style="98" customWidth="1"/>
    <col min="13" max="13" width="19.85546875" style="98" customWidth="1"/>
    <col min="14" max="14" width="19.42578125" style="98" customWidth="1"/>
    <col min="15" max="15" width="20" style="98" customWidth="1"/>
    <col min="16" max="16" width="19.85546875" style="98" customWidth="1"/>
    <col min="17" max="17" width="20.85546875" style="2" customWidth="1"/>
    <col min="18" max="18" width="20.5703125" style="2" customWidth="1"/>
    <col min="19" max="19" width="17.42578125" style="2" customWidth="1"/>
    <col min="20" max="20" width="22.28515625" style="2" customWidth="1"/>
    <col min="21" max="16384" width="6.85546875" style="2"/>
  </cols>
  <sheetData>
    <row r="1" spans="1:18" ht="24.75" customHeight="1" x14ac:dyDescent="0.25">
      <c r="A1" s="233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5"/>
      <c r="Q1" s="1"/>
    </row>
    <row r="2" spans="1:18" ht="21" customHeight="1" x14ac:dyDescent="0.25">
      <c r="A2" s="236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8"/>
      <c r="Q2" s="1"/>
    </row>
    <row r="3" spans="1:18" ht="18.75" customHeight="1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  <c r="Q3" s="4"/>
    </row>
    <row r="4" spans="1:18" ht="15" customHeight="1" x14ac:dyDescent="0.25">
      <c r="A4" s="239" t="s">
        <v>2</v>
      </c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1"/>
      <c r="Q4" s="4"/>
    </row>
    <row r="5" spans="1:18" ht="20.25" customHeight="1" x14ac:dyDescent="0.25">
      <c r="A5" s="239" t="s">
        <v>249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1"/>
      <c r="Q5" s="4"/>
    </row>
    <row r="6" spans="1:18" ht="20.25" customHeight="1" x14ac:dyDescent="0.2">
      <c r="A6" s="6"/>
      <c r="B6" s="242"/>
      <c r="C6" s="242"/>
      <c r="D6" s="242"/>
      <c r="E6" s="7"/>
      <c r="F6" s="8"/>
      <c r="G6" s="8"/>
      <c r="H6" s="8"/>
      <c r="I6" s="8"/>
      <c r="J6" s="8"/>
      <c r="K6" s="8"/>
      <c r="L6" s="8"/>
      <c r="M6" s="8"/>
      <c r="N6" s="8"/>
      <c r="O6" s="8"/>
      <c r="P6" s="9"/>
    </row>
    <row r="7" spans="1:18" ht="21" customHeight="1" thickBot="1" x14ac:dyDescent="0.25">
      <c r="A7" s="10"/>
      <c r="B7" s="243" t="s">
        <v>3</v>
      </c>
      <c r="C7" s="243"/>
      <c r="D7" s="243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</row>
    <row r="8" spans="1:18" s="14" customFormat="1" ht="18" customHeight="1" thickBot="1" x14ac:dyDescent="0.25">
      <c r="A8" s="247" t="s">
        <v>4</v>
      </c>
      <c r="B8" s="249" t="s">
        <v>5</v>
      </c>
      <c r="C8" s="250"/>
      <c r="D8" s="251"/>
      <c r="E8" s="224" t="s">
        <v>6</v>
      </c>
      <c r="F8" s="225"/>
      <c r="G8" s="226"/>
      <c r="H8" s="227" t="s">
        <v>7</v>
      </c>
      <c r="I8" s="228"/>
      <c r="J8" s="229"/>
      <c r="K8" s="227" t="s">
        <v>8</v>
      </c>
      <c r="L8" s="228"/>
      <c r="M8" s="229"/>
      <c r="N8" s="230" t="s">
        <v>9</v>
      </c>
      <c r="O8" s="231"/>
      <c r="P8" s="232"/>
    </row>
    <row r="9" spans="1:18" s="14" customFormat="1" ht="15.75" customHeight="1" thickBot="1" x14ac:dyDescent="0.25">
      <c r="A9" s="248"/>
      <c r="B9" s="15" t="s">
        <v>10</v>
      </c>
      <c r="C9" s="16" t="s">
        <v>11</v>
      </c>
      <c r="D9" s="17" t="s">
        <v>12</v>
      </c>
      <c r="E9" s="18" t="s">
        <v>10</v>
      </c>
      <c r="F9" s="19" t="s">
        <v>11</v>
      </c>
      <c r="G9" s="20" t="s">
        <v>12</v>
      </c>
      <c r="H9" s="21" t="s">
        <v>10</v>
      </c>
      <c r="I9" s="22" t="s">
        <v>11</v>
      </c>
      <c r="J9" s="23" t="s">
        <v>12</v>
      </c>
      <c r="K9" s="24" t="s">
        <v>10</v>
      </c>
      <c r="L9" s="19" t="s">
        <v>11</v>
      </c>
      <c r="M9" s="20" t="s">
        <v>12</v>
      </c>
      <c r="N9" s="15" t="s">
        <v>10</v>
      </c>
      <c r="O9" s="19" t="s">
        <v>11</v>
      </c>
      <c r="P9" s="20" t="s">
        <v>12</v>
      </c>
    </row>
    <row r="10" spans="1:18" s="14" customFormat="1" ht="13.5" thickBot="1" x14ac:dyDescent="0.25">
      <c r="A10" s="25" t="s">
        <v>13</v>
      </c>
      <c r="B10" s="26">
        <f>+B11+B31</f>
        <v>4699091050</v>
      </c>
      <c r="C10" s="27">
        <f>+C11+C28</f>
        <v>18845217682</v>
      </c>
      <c r="D10" s="28">
        <f>+D11+D28</f>
        <v>14146126632</v>
      </c>
      <c r="E10" s="29">
        <f>+E16</f>
        <v>0</v>
      </c>
      <c r="F10" s="29">
        <f>+F16</f>
        <v>370615640.72000003</v>
      </c>
      <c r="G10" s="30">
        <f>+G16</f>
        <v>370615640.72000003</v>
      </c>
      <c r="H10" s="31">
        <f>+H16</f>
        <v>0</v>
      </c>
      <c r="I10" s="29">
        <f>+I11+I28+I31</f>
        <v>300000000</v>
      </c>
      <c r="J10" s="32">
        <f>+J11+J28+J31</f>
        <v>300000000</v>
      </c>
      <c r="K10" s="33">
        <f>+K31</f>
        <v>0</v>
      </c>
      <c r="L10" s="29">
        <f>+L31</f>
        <v>607547251.80999994</v>
      </c>
      <c r="M10" s="30">
        <f>+M31</f>
        <v>607547251.80999994</v>
      </c>
      <c r="N10" s="34">
        <f>+N11+N31</f>
        <v>4699091050</v>
      </c>
      <c r="O10" s="34">
        <f>+O11+O31+O28</f>
        <v>20123380574.530003</v>
      </c>
      <c r="P10" s="35">
        <f>+P11+P31+P28</f>
        <v>15424289524.530001</v>
      </c>
      <c r="R10" s="36"/>
    </row>
    <row r="11" spans="1:18" s="14" customFormat="1" x14ac:dyDescent="0.2">
      <c r="A11" s="37" t="s">
        <v>14</v>
      </c>
      <c r="B11" s="26">
        <f>+B12+B24</f>
        <v>4699091050</v>
      </c>
      <c r="C11" s="38">
        <f>+C12</f>
        <v>18845217682</v>
      </c>
      <c r="D11" s="39">
        <f>+D12+D20+D24</f>
        <v>14146126632</v>
      </c>
      <c r="E11" s="40">
        <f t="shared" ref="E11:J11" si="0">+E16</f>
        <v>0</v>
      </c>
      <c r="F11" s="40">
        <f t="shared" si="0"/>
        <v>370615640.72000003</v>
      </c>
      <c r="G11" s="41">
        <f t="shared" si="0"/>
        <v>370615640.72000003</v>
      </c>
      <c r="H11" s="40">
        <f t="shared" si="0"/>
        <v>0</v>
      </c>
      <c r="I11" s="40">
        <f t="shared" si="0"/>
        <v>0</v>
      </c>
      <c r="J11" s="41">
        <f t="shared" si="0"/>
        <v>0</v>
      </c>
      <c r="K11" s="42">
        <v>0</v>
      </c>
      <c r="L11" s="43"/>
      <c r="M11" s="44">
        <v>0</v>
      </c>
      <c r="N11" s="45">
        <f>+B11+E11+K11</f>
        <v>4699091050</v>
      </c>
      <c r="O11" s="45">
        <f>+C11+F11+L11</f>
        <v>19215833322.720001</v>
      </c>
      <c r="P11" s="46">
        <f>+O11-N11</f>
        <v>14516742272.720001</v>
      </c>
    </row>
    <row r="12" spans="1:18" x14ac:dyDescent="0.2">
      <c r="A12" s="47" t="s">
        <v>15</v>
      </c>
      <c r="B12" s="48" t="s">
        <v>16</v>
      </c>
      <c r="C12" s="49">
        <f>+C13+C21</f>
        <v>18845217682</v>
      </c>
      <c r="D12" s="50">
        <f>+C12-B12</f>
        <v>18845217682</v>
      </c>
      <c r="E12" s="50">
        <f>+E16</f>
        <v>0</v>
      </c>
      <c r="F12" s="50">
        <f>+F16</f>
        <v>370615640.72000003</v>
      </c>
      <c r="G12" s="50">
        <f>+F12-E12</f>
        <v>370615640.72000003</v>
      </c>
      <c r="H12" s="42">
        <v>0</v>
      </c>
      <c r="I12" s="43">
        <v>0</v>
      </c>
      <c r="J12" s="44">
        <v>0</v>
      </c>
      <c r="K12" s="42">
        <v>0</v>
      </c>
      <c r="L12" s="43">
        <v>0</v>
      </c>
      <c r="M12" s="44">
        <v>0</v>
      </c>
      <c r="N12" s="49">
        <f>+B12+E12+K12</f>
        <v>0</v>
      </c>
      <c r="O12" s="51">
        <f>+C12+F12+L12+O21</f>
        <v>19225176004.720001</v>
      </c>
      <c r="P12" s="52">
        <f>+O12-N12</f>
        <v>19225176004.720001</v>
      </c>
    </row>
    <row r="13" spans="1:18" x14ac:dyDescent="0.2">
      <c r="A13" s="47" t="s">
        <v>17</v>
      </c>
      <c r="B13" s="48" t="s">
        <v>16</v>
      </c>
      <c r="C13" s="49">
        <f>SUM(C14:C15)</f>
        <v>18835875000</v>
      </c>
      <c r="D13" s="50">
        <f>+C13-B13</f>
        <v>18835875000</v>
      </c>
      <c r="E13" s="53">
        <v>0</v>
      </c>
      <c r="F13" s="50">
        <v>0</v>
      </c>
      <c r="G13" s="50">
        <v>0</v>
      </c>
      <c r="H13" s="42">
        <v>0</v>
      </c>
      <c r="I13" s="43">
        <v>0</v>
      </c>
      <c r="J13" s="44">
        <v>0</v>
      </c>
      <c r="K13" s="42">
        <v>0</v>
      </c>
      <c r="L13" s="43">
        <v>0</v>
      </c>
      <c r="M13" s="44">
        <v>0</v>
      </c>
      <c r="N13" s="48" t="s">
        <v>16</v>
      </c>
      <c r="O13" s="51">
        <f t="shared" ref="O13:O27" si="1">+C13+F13+L13</f>
        <v>18835875000</v>
      </c>
      <c r="P13" s="52">
        <f t="shared" ref="P13:P40" si="2">+O13-N13</f>
        <v>18835875000</v>
      </c>
    </row>
    <row r="14" spans="1:18" x14ac:dyDescent="0.2">
      <c r="A14" s="47" t="s">
        <v>18</v>
      </c>
      <c r="B14" s="48" t="s">
        <v>16</v>
      </c>
      <c r="C14" s="49">
        <v>4521872000</v>
      </c>
      <c r="D14" s="50">
        <f>+C14-B14</f>
        <v>4521872000</v>
      </c>
      <c r="E14" s="53">
        <v>0</v>
      </c>
      <c r="F14" s="50">
        <v>0</v>
      </c>
      <c r="G14" s="50">
        <v>0</v>
      </c>
      <c r="H14" s="42">
        <v>0</v>
      </c>
      <c r="I14" s="43">
        <v>0</v>
      </c>
      <c r="J14" s="44">
        <v>0</v>
      </c>
      <c r="K14" s="42">
        <v>0</v>
      </c>
      <c r="L14" s="43">
        <v>0</v>
      </c>
      <c r="M14" s="44">
        <v>0</v>
      </c>
      <c r="N14" s="48" t="s">
        <v>16</v>
      </c>
      <c r="O14" s="51">
        <f t="shared" si="1"/>
        <v>4521872000</v>
      </c>
      <c r="P14" s="52">
        <f t="shared" si="2"/>
        <v>4521872000</v>
      </c>
    </row>
    <row r="15" spans="1:18" x14ac:dyDescent="0.2">
      <c r="A15" s="47" t="s">
        <v>19</v>
      </c>
      <c r="B15" s="48" t="s">
        <v>16</v>
      </c>
      <c r="C15" s="49">
        <v>14314003000</v>
      </c>
      <c r="D15" s="50">
        <f>+C15-B15</f>
        <v>14314003000</v>
      </c>
      <c r="E15" s="53">
        <v>0</v>
      </c>
      <c r="F15" s="50">
        <v>0</v>
      </c>
      <c r="G15" s="50">
        <v>0</v>
      </c>
      <c r="H15" s="42">
        <v>0</v>
      </c>
      <c r="I15" s="43">
        <v>0</v>
      </c>
      <c r="J15" s="44">
        <v>0</v>
      </c>
      <c r="K15" s="42">
        <v>0</v>
      </c>
      <c r="L15" s="43">
        <v>0</v>
      </c>
      <c r="M15" s="44">
        <v>0</v>
      </c>
      <c r="N15" s="48" t="s">
        <v>16</v>
      </c>
      <c r="O15" s="51">
        <f t="shared" si="1"/>
        <v>14314003000</v>
      </c>
      <c r="P15" s="52">
        <f t="shared" si="2"/>
        <v>14314003000</v>
      </c>
    </row>
    <row r="16" spans="1:18" x14ac:dyDescent="0.2">
      <c r="A16" s="47" t="s">
        <v>20</v>
      </c>
      <c r="B16" s="48" t="s">
        <v>16</v>
      </c>
      <c r="C16" s="54">
        <v>0</v>
      </c>
      <c r="D16" s="50">
        <v>0</v>
      </c>
      <c r="E16" s="50">
        <f>SUM(E17:E20)</f>
        <v>0</v>
      </c>
      <c r="F16" s="50">
        <f>SUM(F17:F20)</f>
        <v>370615640.72000003</v>
      </c>
      <c r="G16" s="50">
        <f>+F16-E16</f>
        <v>370615640.72000003</v>
      </c>
      <c r="H16" s="42">
        <v>0</v>
      </c>
      <c r="I16" s="43">
        <v>0</v>
      </c>
      <c r="J16" s="44">
        <v>0</v>
      </c>
      <c r="K16" s="42">
        <v>0</v>
      </c>
      <c r="L16" s="43">
        <v>0</v>
      </c>
      <c r="M16" s="44">
        <v>0</v>
      </c>
      <c r="N16" s="49">
        <f>+B16+E16+K16</f>
        <v>0</v>
      </c>
      <c r="O16" s="51">
        <f t="shared" si="1"/>
        <v>370615640.72000003</v>
      </c>
      <c r="P16" s="52">
        <f t="shared" si="2"/>
        <v>370615640.72000003</v>
      </c>
    </row>
    <row r="17" spans="1:18" x14ac:dyDescent="0.2">
      <c r="A17" s="47" t="s">
        <v>21</v>
      </c>
      <c r="B17" s="48" t="s">
        <v>16</v>
      </c>
      <c r="C17" s="54">
        <v>0</v>
      </c>
      <c r="D17" s="50">
        <v>0</v>
      </c>
      <c r="E17" s="53">
        <v>0</v>
      </c>
      <c r="F17" s="50">
        <v>218400000</v>
      </c>
      <c r="G17" s="50">
        <f>+F17-E17</f>
        <v>218400000</v>
      </c>
      <c r="H17" s="42">
        <v>0</v>
      </c>
      <c r="I17" s="43">
        <v>0</v>
      </c>
      <c r="J17" s="44">
        <v>0</v>
      </c>
      <c r="K17" s="42">
        <v>0</v>
      </c>
      <c r="L17" s="43">
        <v>0</v>
      </c>
      <c r="M17" s="44">
        <v>0</v>
      </c>
      <c r="N17" s="49">
        <f>+B17+E17+K17</f>
        <v>0</v>
      </c>
      <c r="O17" s="51">
        <f t="shared" si="1"/>
        <v>218400000</v>
      </c>
      <c r="P17" s="52">
        <f t="shared" si="2"/>
        <v>218400000</v>
      </c>
    </row>
    <row r="18" spans="1:18" x14ac:dyDescent="0.2">
      <c r="A18" s="47" t="s">
        <v>22</v>
      </c>
      <c r="B18" s="48" t="s">
        <v>16</v>
      </c>
      <c r="C18" s="54">
        <v>0</v>
      </c>
      <c r="D18" s="50">
        <v>0</v>
      </c>
      <c r="E18" s="53">
        <v>0</v>
      </c>
      <c r="F18" s="50">
        <v>41895892</v>
      </c>
      <c r="G18" s="50">
        <f>+F18-E18</f>
        <v>41895892</v>
      </c>
      <c r="H18" s="42">
        <v>0</v>
      </c>
      <c r="I18" s="43">
        <v>0</v>
      </c>
      <c r="J18" s="44">
        <v>0</v>
      </c>
      <c r="K18" s="42">
        <v>0</v>
      </c>
      <c r="L18" s="43">
        <v>0</v>
      </c>
      <c r="M18" s="44">
        <v>0</v>
      </c>
      <c r="N18" s="48" t="s">
        <v>16</v>
      </c>
      <c r="O18" s="51">
        <f t="shared" si="1"/>
        <v>41895892</v>
      </c>
      <c r="P18" s="52">
        <f t="shared" si="2"/>
        <v>41895892</v>
      </c>
    </row>
    <row r="19" spans="1:18" x14ac:dyDescent="0.2">
      <c r="A19" s="47" t="s">
        <v>23</v>
      </c>
      <c r="B19" s="48" t="s">
        <v>16</v>
      </c>
      <c r="C19" s="54">
        <v>0</v>
      </c>
      <c r="D19" s="50">
        <v>0</v>
      </c>
      <c r="E19" s="53">
        <v>0</v>
      </c>
      <c r="F19" s="50">
        <v>110319748.72</v>
      </c>
      <c r="G19" s="50">
        <f>+F19-E19</f>
        <v>110319748.72</v>
      </c>
      <c r="H19" s="42">
        <v>0</v>
      </c>
      <c r="I19" s="43">
        <v>0</v>
      </c>
      <c r="J19" s="44">
        <v>0</v>
      </c>
      <c r="K19" s="42">
        <v>0</v>
      </c>
      <c r="L19" s="43">
        <v>0</v>
      </c>
      <c r="M19" s="44">
        <v>0</v>
      </c>
      <c r="N19" s="48" t="s">
        <v>16</v>
      </c>
      <c r="O19" s="51">
        <f t="shared" si="1"/>
        <v>110319748.72</v>
      </c>
      <c r="P19" s="52">
        <f t="shared" si="2"/>
        <v>110319748.72</v>
      </c>
    </row>
    <row r="20" spans="1:18" x14ac:dyDescent="0.2">
      <c r="A20" s="47" t="s">
        <v>24</v>
      </c>
      <c r="B20" s="48" t="s">
        <v>16</v>
      </c>
      <c r="C20" s="54">
        <v>0</v>
      </c>
      <c r="D20" s="50">
        <v>0</v>
      </c>
      <c r="E20" s="53">
        <v>0</v>
      </c>
      <c r="F20" s="55">
        <v>0</v>
      </c>
      <c r="G20" s="50">
        <f>+F20-E20</f>
        <v>0</v>
      </c>
      <c r="H20" s="42">
        <v>0</v>
      </c>
      <c r="I20" s="43">
        <v>0</v>
      </c>
      <c r="J20" s="44">
        <v>0</v>
      </c>
      <c r="K20" s="42">
        <v>0</v>
      </c>
      <c r="L20" s="43">
        <v>0</v>
      </c>
      <c r="M20" s="44">
        <v>0</v>
      </c>
      <c r="N20" s="48" t="s">
        <v>16</v>
      </c>
      <c r="O20" s="51">
        <f t="shared" si="1"/>
        <v>0</v>
      </c>
      <c r="P20" s="52">
        <f t="shared" si="2"/>
        <v>0</v>
      </c>
    </row>
    <row r="21" spans="1:18" x14ac:dyDescent="0.2">
      <c r="A21" s="47" t="s">
        <v>25</v>
      </c>
      <c r="B21" s="48" t="s">
        <v>16</v>
      </c>
      <c r="C21" s="55">
        <f>+C22</f>
        <v>9342682</v>
      </c>
      <c r="D21" s="50">
        <f t="shared" ref="D21:D27" si="3">+C21-B21</f>
        <v>9342682</v>
      </c>
      <c r="E21" s="53">
        <v>0</v>
      </c>
      <c r="F21" s="50">
        <v>0</v>
      </c>
      <c r="G21" s="50">
        <v>0</v>
      </c>
      <c r="H21" s="42">
        <v>0</v>
      </c>
      <c r="I21" s="43">
        <v>0</v>
      </c>
      <c r="J21" s="44">
        <v>0</v>
      </c>
      <c r="K21" s="42">
        <v>0</v>
      </c>
      <c r="L21" s="43">
        <v>0</v>
      </c>
      <c r="M21" s="44">
        <v>0</v>
      </c>
      <c r="N21" s="48" t="s">
        <v>16</v>
      </c>
      <c r="O21" s="51">
        <f>+C21+F21+L21</f>
        <v>9342682</v>
      </c>
      <c r="P21" s="52">
        <f>+O21-N21</f>
        <v>9342682</v>
      </c>
    </row>
    <row r="22" spans="1:18" x14ac:dyDescent="0.2">
      <c r="A22" s="47" t="s">
        <v>26</v>
      </c>
      <c r="B22" s="48" t="s">
        <v>16</v>
      </c>
      <c r="C22" s="55">
        <f>SUM(C23:C23)</f>
        <v>9342682</v>
      </c>
      <c r="D22" s="50">
        <f t="shared" si="3"/>
        <v>9342682</v>
      </c>
      <c r="E22" s="53">
        <v>0</v>
      </c>
      <c r="F22" s="50">
        <v>0</v>
      </c>
      <c r="G22" s="50">
        <v>0</v>
      </c>
      <c r="H22" s="42">
        <v>0</v>
      </c>
      <c r="I22" s="43">
        <v>0</v>
      </c>
      <c r="J22" s="44">
        <v>0</v>
      </c>
      <c r="K22" s="42">
        <v>0</v>
      </c>
      <c r="L22" s="43">
        <v>0</v>
      </c>
      <c r="M22" s="44">
        <v>0</v>
      </c>
      <c r="N22" s="48" t="s">
        <v>16</v>
      </c>
      <c r="O22" s="51">
        <f>+C22+F22+L22</f>
        <v>9342682</v>
      </c>
      <c r="P22" s="52">
        <f>+O22-N22</f>
        <v>9342682</v>
      </c>
    </row>
    <row r="23" spans="1:18" x14ac:dyDescent="0.2">
      <c r="A23" s="47" t="s">
        <v>27</v>
      </c>
      <c r="B23" s="48" t="s">
        <v>16</v>
      </c>
      <c r="C23" s="55">
        <v>9342682</v>
      </c>
      <c r="D23" s="50">
        <f t="shared" si="3"/>
        <v>9342682</v>
      </c>
      <c r="E23" s="53">
        <v>0</v>
      </c>
      <c r="F23" s="50">
        <v>0</v>
      </c>
      <c r="G23" s="50">
        <v>0</v>
      </c>
      <c r="H23" s="42">
        <v>0</v>
      </c>
      <c r="I23" s="43">
        <v>0</v>
      </c>
      <c r="J23" s="44">
        <v>0</v>
      </c>
      <c r="K23" s="42">
        <v>0</v>
      </c>
      <c r="L23" s="43">
        <v>0</v>
      </c>
      <c r="M23" s="44">
        <v>0</v>
      </c>
      <c r="N23" s="48" t="s">
        <v>16</v>
      </c>
      <c r="O23" s="51">
        <f>+C23+F23+L23</f>
        <v>9342682</v>
      </c>
      <c r="P23" s="52">
        <f>+O23-N23</f>
        <v>9342682</v>
      </c>
    </row>
    <row r="24" spans="1:18" x14ac:dyDescent="0.2">
      <c r="A24" s="47" t="s">
        <v>28</v>
      </c>
      <c r="B24" s="56">
        <f>+B25</f>
        <v>4699091050</v>
      </c>
      <c r="C24" s="54" t="s">
        <v>16</v>
      </c>
      <c r="D24" s="50">
        <f t="shared" si="3"/>
        <v>-4699091050</v>
      </c>
      <c r="E24" s="53">
        <v>0</v>
      </c>
      <c r="F24" s="43">
        <v>0</v>
      </c>
      <c r="G24" s="44">
        <v>0</v>
      </c>
      <c r="H24" s="42">
        <v>0</v>
      </c>
      <c r="I24" s="43">
        <v>0</v>
      </c>
      <c r="J24" s="44">
        <v>0</v>
      </c>
      <c r="K24" s="42">
        <v>0</v>
      </c>
      <c r="L24" s="43">
        <v>0</v>
      </c>
      <c r="M24" s="44">
        <v>0</v>
      </c>
      <c r="N24" s="49">
        <f>+B24+E24+K24</f>
        <v>4699091050</v>
      </c>
      <c r="O24" s="51">
        <f t="shared" si="1"/>
        <v>0</v>
      </c>
      <c r="P24" s="52">
        <f t="shared" si="2"/>
        <v>-4699091050</v>
      </c>
    </row>
    <row r="25" spans="1:18" x14ac:dyDescent="0.2">
      <c r="A25" s="47" t="s">
        <v>29</v>
      </c>
      <c r="B25" s="56">
        <f>SUM(B26:B27)</f>
        <v>4699091050</v>
      </c>
      <c r="C25" s="54" t="s">
        <v>16</v>
      </c>
      <c r="D25" s="50">
        <f t="shared" si="3"/>
        <v>-4699091050</v>
      </c>
      <c r="E25" s="53">
        <v>0</v>
      </c>
      <c r="F25" s="43">
        <v>0</v>
      </c>
      <c r="G25" s="44">
        <v>0</v>
      </c>
      <c r="H25" s="42">
        <v>0</v>
      </c>
      <c r="I25" s="43">
        <v>0</v>
      </c>
      <c r="J25" s="44">
        <v>0</v>
      </c>
      <c r="K25" s="42">
        <v>0</v>
      </c>
      <c r="L25" s="43">
        <v>0</v>
      </c>
      <c r="M25" s="44">
        <v>0</v>
      </c>
      <c r="N25" s="49">
        <f t="shared" ref="N25:O40" si="4">+B25+E25+K25</f>
        <v>4699091050</v>
      </c>
      <c r="O25" s="51">
        <f t="shared" si="1"/>
        <v>0</v>
      </c>
      <c r="P25" s="52">
        <f t="shared" si="2"/>
        <v>-4699091050</v>
      </c>
    </row>
    <row r="26" spans="1:18" x14ac:dyDescent="0.2">
      <c r="A26" s="47" t="s">
        <v>30</v>
      </c>
      <c r="B26" s="56">
        <v>1121950500</v>
      </c>
      <c r="C26" s="54" t="s">
        <v>16</v>
      </c>
      <c r="D26" s="50">
        <f t="shared" si="3"/>
        <v>-1121950500</v>
      </c>
      <c r="E26" s="53">
        <v>0</v>
      </c>
      <c r="F26" s="43">
        <v>0</v>
      </c>
      <c r="G26" s="44">
        <v>0</v>
      </c>
      <c r="H26" s="42">
        <v>0</v>
      </c>
      <c r="I26" s="43">
        <v>0</v>
      </c>
      <c r="J26" s="44">
        <v>0</v>
      </c>
      <c r="K26" s="42">
        <v>0</v>
      </c>
      <c r="L26" s="43">
        <v>0</v>
      </c>
      <c r="M26" s="44">
        <v>0</v>
      </c>
      <c r="N26" s="49">
        <f t="shared" si="4"/>
        <v>1121950500</v>
      </c>
      <c r="O26" s="51">
        <f t="shared" si="1"/>
        <v>0</v>
      </c>
      <c r="P26" s="52">
        <f t="shared" si="2"/>
        <v>-1121950500</v>
      </c>
    </row>
    <row r="27" spans="1:18" x14ac:dyDescent="0.2">
      <c r="A27" s="47" t="s">
        <v>31</v>
      </c>
      <c r="B27" s="56">
        <v>3577140550</v>
      </c>
      <c r="C27" s="54" t="s">
        <v>16</v>
      </c>
      <c r="D27" s="50">
        <f t="shared" si="3"/>
        <v>-3577140550</v>
      </c>
      <c r="E27" s="53">
        <v>0</v>
      </c>
      <c r="F27" s="43">
        <v>0</v>
      </c>
      <c r="G27" s="44">
        <v>0</v>
      </c>
      <c r="H27" s="42">
        <v>0</v>
      </c>
      <c r="I27" s="43">
        <v>0</v>
      </c>
      <c r="J27" s="44">
        <v>0</v>
      </c>
      <c r="K27" s="42">
        <v>0</v>
      </c>
      <c r="L27" s="43">
        <v>0</v>
      </c>
      <c r="M27" s="44">
        <v>0</v>
      </c>
      <c r="N27" s="49">
        <f t="shared" si="4"/>
        <v>3577140550</v>
      </c>
      <c r="O27" s="51">
        <f t="shared" si="1"/>
        <v>0</v>
      </c>
      <c r="P27" s="52">
        <f t="shared" si="2"/>
        <v>-3577140550</v>
      </c>
    </row>
    <row r="28" spans="1:18" x14ac:dyDescent="0.2">
      <c r="A28" s="57" t="s">
        <v>32</v>
      </c>
      <c r="B28" s="56">
        <v>0</v>
      </c>
      <c r="C28" s="56">
        <v>0</v>
      </c>
      <c r="D28" s="56">
        <v>0</v>
      </c>
      <c r="E28" s="53">
        <v>0</v>
      </c>
      <c r="F28" s="43">
        <v>0</v>
      </c>
      <c r="G28" s="44">
        <v>0</v>
      </c>
      <c r="H28" s="58">
        <f>+H29+H31</f>
        <v>0</v>
      </c>
      <c r="I28" s="58">
        <f>+I29+I31</f>
        <v>300000000</v>
      </c>
      <c r="J28" s="58">
        <f t="shared" ref="J28:J44" si="5">+I28-H28</f>
        <v>300000000</v>
      </c>
      <c r="K28" s="58">
        <f>+K29+K31</f>
        <v>0</v>
      </c>
      <c r="L28" s="58">
        <f>SUM(L29:L30)</f>
        <v>0</v>
      </c>
      <c r="M28" s="58">
        <f>+L28-K28</f>
        <v>0</v>
      </c>
      <c r="N28" s="59">
        <f>+B28+E28+K28</f>
        <v>0</v>
      </c>
      <c r="O28" s="58">
        <f>+O29</f>
        <v>300000000</v>
      </c>
      <c r="P28" s="58">
        <f>+P29</f>
        <v>300000000</v>
      </c>
    </row>
    <row r="29" spans="1:18" x14ac:dyDescent="0.2">
      <c r="A29" s="47" t="s">
        <v>33</v>
      </c>
      <c r="B29" s="56">
        <v>0</v>
      </c>
      <c r="C29" s="56">
        <v>0</v>
      </c>
      <c r="D29" s="56">
        <v>0</v>
      </c>
      <c r="E29" s="53">
        <v>0</v>
      </c>
      <c r="F29" s="43">
        <v>0</v>
      </c>
      <c r="G29" s="44">
        <v>0</v>
      </c>
      <c r="H29" s="42">
        <v>0</v>
      </c>
      <c r="I29" s="55">
        <f>+I30</f>
        <v>300000000</v>
      </c>
      <c r="J29" s="50">
        <f t="shared" si="5"/>
        <v>300000000</v>
      </c>
      <c r="K29" s="42">
        <v>0</v>
      </c>
      <c r="L29" s="43">
        <v>0</v>
      </c>
      <c r="M29" s="44">
        <v>0</v>
      </c>
      <c r="N29" s="48" t="s">
        <v>16</v>
      </c>
      <c r="O29" s="51">
        <f>+O30</f>
        <v>300000000</v>
      </c>
      <c r="P29" s="52">
        <f t="shared" si="2"/>
        <v>300000000</v>
      </c>
    </row>
    <row r="30" spans="1:18" x14ac:dyDescent="0.2">
      <c r="A30" s="47" t="s">
        <v>34</v>
      </c>
      <c r="B30" s="56">
        <v>0</v>
      </c>
      <c r="C30" s="56">
        <v>0</v>
      </c>
      <c r="D30" s="56">
        <v>0</v>
      </c>
      <c r="E30" s="53">
        <v>0</v>
      </c>
      <c r="F30" s="43">
        <v>0</v>
      </c>
      <c r="G30" s="44">
        <v>0</v>
      </c>
      <c r="H30" s="42">
        <v>0</v>
      </c>
      <c r="I30" s="55">
        <v>300000000</v>
      </c>
      <c r="J30" s="50">
        <f t="shared" si="5"/>
        <v>300000000</v>
      </c>
      <c r="K30" s="42">
        <v>0</v>
      </c>
      <c r="L30" s="43">
        <v>0</v>
      </c>
      <c r="M30" s="44">
        <v>0</v>
      </c>
      <c r="N30" s="48" t="s">
        <v>16</v>
      </c>
      <c r="O30" s="51">
        <f>+C30+F30+I30+L30</f>
        <v>300000000</v>
      </c>
      <c r="P30" s="52">
        <f t="shared" si="2"/>
        <v>300000000</v>
      </c>
    </row>
    <row r="31" spans="1:18" s="14" customFormat="1" x14ac:dyDescent="0.2">
      <c r="A31" s="57" t="s">
        <v>35</v>
      </c>
      <c r="B31" s="58">
        <f>+B32+B34</f>
        <v>0</v>
      </c>
      <c r="C31" s="60">
        <v>0</v>
      </c>
      <c r="D31" s="61">
        <v>0</v>
      </c>
      <c r="E31" s="53">
        <v>0</v>
      </c>
      <c r="F31" s="43">
        <v>0</v>
      </c>
      <c r="G31" s="44">
        <v>0</v>
      </c>
      <c r="H31" s="58">
        <f>+H32+H34</f>
        <v>0</v>
      </c>
      <c r="I31" s="58">
        <f>+I32+I34</f>
        <v>0</v>
      </c>
      <c r="J31" s="58">
        <f t="shared" si="5"/>
        <v>0</v>
      </c>
      <c r="K31" s="58">
        <f>+K32+K34</f>
        <v>0</v>
      </c>
      <c r="L31" s="58">
        <f>+L32+L34</f>
        <v>607547251.80999994</v>
      </c>
      <c r="M31" s="58">
        <f>+L31-K31</f>
        <v>607547251.80999994</v>
      </c>
      <c r="N31" s="59">
        <f t="shared" si="4"/>
        <v>0</v>
      </c>
      <c r="O31" s="58">
        <f>+O32+O34</f>
        <v>607547251.80999994</v>
      </c>
      <c r="P31" s="58">
        <f>+P32+P34</f>
        <v>607547251.80999994</v>
      </c>
      <c r="R31" s="62"/>
    </row>
    <row r="32" spans="1:18" x14ac:dyDescent="0.2">
      <c r="A32" s="47" t="s">
        <v>36</v>
      </c>
      <c r="B32" s="48" t="s">
        <v>16</v>
      </c>
      <c r="C32" s="54">
        <v>0</v>
      </c>
      <c r="D32" s="50">
        <v>0</v>
      </c>
      <c r="E32" s="53">
        <v>0</v>
      </c>
      <c r="F32" s="43">
        <v>0</v>
      </c>
      <c r="G32" s="44">
        <v>0</v>
      </c>
      <c r="H32" s="48" t="s">
        <v>16</v>
      </c>
      <c r="I32" s="49">
        <f>SUM(I33:I33)</f>
        <v>0</v>
      </c>
      <c r="J32" s="49">
        <f t="shared" si="5"/>
        <v>0</v>
      </c>
      <c r="K32" s="48" t="s">
        <v>16</v>
      </c>
      <c r="L32" s="49">
        <f>SUM(L33:L33)</f>
        <v>386495122.20999998</v>
      </c>
      <c r="M32" s="49">
        <f t="shared" ref="M32:M40" si="6">+L32-K32</f>
        <v>386495122.20999998</v>
      </c>
      <c r="N32" s="49">
        <f t="shared" si="4"/>
        <v>0</v>
      </c>
      <c r="O32" s="51">
        <f>+C32+F32+L32</f>
        <v>386495122.20999998</v>
      </c>
      <c r="P32" s="52">
        <f t="shared" si="2"/>
        <v>386495122.20999998</v>
      </c>
    </row>
    <row r="33" spans="1:20" x14ac:dyDescent="0.2">
      <c r="A33" s="47" t="s">
        <v>37</v>
      </c>
      <c r="B33" s="48" t="s">
        <v>16</v>
      </c>
      <c r="C33" s="54">
        <v>0</v>
      </c>
      <c r="D33" s="50">
        <v>0</v>
      </c>
      <c r="E33" s="53">
        <v>0</v>
      </c>
      <c r="F33" s="43">
        <v>0</v>
      </c>
      <c r="G33" s="44">
        <v>0</v>
      </c>
      <c r="H33" s="48" t="s">
        <v>16</v>
      </c>
      <c r="I33" s="49">
        <v>0</v>
      </c>
      <c r="J33" s="49">
        <f t="shared" si="5"/>
        <v>0</v>
      </c>
      <c r="K33" s="48" t="s">
        <v>16</v>
      </c>
      <c r="L33" s="49">
        <v>386495122.20999998</v>
      </c>
      <c r="M33" s="49">
        <f t="shared" si="6"/>
        <v>386495122.20999998</v>
      </c>
      <c r="N33" s="49">
        <f t="shared" si="4"/>
        <v>0</v>
      </c>
      <c r="O33" s="51">
        <f t="shared" si="4"/>
        <v>386495122.20999998</v>
      </c>
      <c r="P33" s="52">
        <f t="shared" si="2"/>
        <v>386495122.20999998</v>
      </c>
      <c r="R33" s="63"/>
    </row>
    <row r="34" spans="1:20" x14ac:dyDescent="0.2">
      <c r="A34" s="47" t="s">
        <v>38</v>
      </c>
      <c r="B34" s="48" t="s">
        <v>16</v>
      </c>
      <c r="C34" s="54">
        <v>0</v>
      </c>
      <c r="D34" s="50">
        <v>0</v>
      </c>
      <c r="E34" s="53">
        <v>0</v>
      </c>
      <c r="F34" s="43">
        <v>0</v>
      </c>
      <c r="G34" s="44">
        <v>0</v>
      </c>
      <c r="H34" s="56" t="str">
        <f>+H39</f>
        <v>0,00</v>
      </c>
      <c r="I34" s="49">
        <f>+I35+I39</f>
        <v>0</v>
      </c>
      <c r="J34" s="49">
        <f t="shared" si="5"/>
        <v>0</v>
      </c>
      <c r="K34" s="56" t="str">
        <f>+K39</f>
        <v>0,00</v>
      </c>
      <c r="L34" s="49">
        <f>+L35+L39</f>
        <v>221052129.59999999</v>
      </c>
      <c r="M34" s="49">
        <f t="shared" si="6"/>
        <v>221052129.59999999</v>
      </c>
      <c r="N34" s="49">
        <f t="shared" si="4"/>
        <v>0</v>
      </c>
      <c r="O34" s="51">
        <f t="shared" si="4"/>
        <v>221052129.59999999</v>
      </c>
      <c r="P34" s="52">
        <f t="shared" si="2"/>
        <v>221052129.59999999</v>
      </c>
      <c r="R34" s="63"/>
    </row>
    <row r="35" spans="1:20" x14ac:dyDescent="0.2">
      <c r="A35" s="47" t="s">
        <v>39</v>
      </c>
      <c r="B35" s="48" t="s">
        <v>16</v>
      </c>
      <c r="C35" s="54">
        <v>0</v>
      </c>
      <c r="D35" s="50">
        <v>0</v>
      </c>
      <c r="E35" s="53">
        <v>0</v>
      </c>
      <c r="F35" s="43">
        <v>0</v>
      </c>
      <c r="G35" s="44">
        <v>0</v>
      </c>
      <c r="H35" s="48" t="s">
        <v>16</v>
      </c>
      <c r="I35" s="49">
        <f>SUM(I36:I38)</f>
        <v>0</v>
      </c>
      <c r="J35" s="49">
        <f t="shared" si="5"/>
        <v>0</v>
      </c>
      <c r="K35" s="48" t="s">
        <v>16</v>
      </c>
      <c r="L35" s="49">
        <f>SUM(L36:L38)</f>
        <v>10735000</v>
      </c>
      <c r="M35" s="49">
        <f t="shared" si="6"/>
        <v>10735000</v>
      </c>
      <c r="N35" s="49">
        <f t="shared" si="4"/>
        <v>0</v>
      </c>
      <c r="O35" s="51">
        <f t="shared" si="4"/>
        <v>10735000</v>
      </c>
      <c r="P35" s="52">
        <f t="shared" si="2"/>
        <v>10735000</v>
      </c>
    </row>
    <row r="36" spans="1:20" x14ac:dyDescent="0.2">
      <c r="A36" s="47" t="s">
        <v>40</v>
      </c>
      <c r="B36" s="48" t="s">
        <v>16</v>
      </c>
      <c r="C36" s="54">
        <v>0</v>
      </c>
      <c r="D36" s="50">
        <v>0</v>
      </c>
      <c r="E36" s="53">
        <v>0</v>
      </c>
      <c r="F36" s="43">
        <v>0</v>
      </c>
      <c r="G36" s="44">
        <v>0</v>
      </c>
      <c r="H36" s="48" t="s">
        <v>16</v>
      </c>
      <c r="I36" s="49">
        <v>0</v>
      </c>
      <c r="J36" s="49">
        <f t="shared" si="5"/>
        <v>0</v>
      </c>
      <c r="K36" s="48" t="s">
        <v>16</v>
      </c>
      <c r="L36" s="49">
        <v>6930000</v>
      </c>
      <c r="M36" s="49">
        <f t="shared" si="6"/>
        <v>6930000</v>
      </c>
      <c r="N36" s="49">
        <f t="shared" si="4"/>
        <v>0</v>
      </c>
      <c r="O36" s="51">
        <f t="shared" si="4"/>
        <v>6930000</v>
      </c>
      <c r="P36" s="52">
        <f t="shared" si="2"/>
        <v>6930000</v>
      </c>
    </row>
    <row r="37" spans="1:20" x14ac:dyDescent="0.2">
      <c r="A37" s="47" t="s">
        <v>41</v>
      </c>
      <c r="B37" s="48" t="s">
        <v>16</v>
      </c>
      <c r="C37" s="54">
        <v>0</v>
      </c>
      <c r="D37" s="50">
        <v>0</v>
      </c>
      <c r="E37" s="53">
        <v>0</v>
      </c>
      <c r="F37" s="43">
        <v>0</v>
      </c>
      <c r="G37" s="44">
        <v>0</v>
      </c>
      <c r="H37" s="48" t="s">
        <v>16</v>
      </c>
      <c r="I37" s="49">
        <v>0</v>
      </c>
      <c r="J37" s="49">
        <f t="shared" si="5"/>
        <v>0</v>
      </c>
      <c r="K37" s="48" t="s">
        <v>16</v>
      </c>
      <c r="L37" s="49">
        <v>3805000</v>
      </c>
      <c r="M37" s="49">
        <f>+L37-K37</f>
        <v>3805000</v>
      </c>
      <c r="N37" s="49">
        <f>+B37+E37+K37</f>
        <v>0</v>
      </c>
      <c r="O37" s="51">
        <f>+C37+F37+L37</f>
        <v>3805000</v>
      </c>
      <c r="P37" s="52">
        <f>+O37-N37</f>
        <v>3805000</v>
      </c>
    </row>
    <row r="38" spans="1:20" x14ac:dyDescent="0.2">
      <c r="A38" s="47" t="s">
        <v>42</v>
      </c>
      <c r="B38" s="48" t="s">
        <v>16</v>
      </c>
      <c r="C38" s="54">
        <v>0</v>
      </c>
      <c r="D38" s="50">
        <v>0</v>
      </c>
      <c r="E38" s="53">
        <v>0</v>
      </c>
      <c r="F38" s="43">
        <v>0</v>
      </c>
      <c r="G38" s="44">
        <v>0</v>
      </c>
      <c r="H38" s="48" t="s">
        <v>16</v>
      </c>
      <c r="I38" s="49">
        <v>0</v>
      </c>
      <c r="J38" s="49">
        <f t="shared" si="5"/>
        <v>0</v>
      </c>
      <c r="K38" s="48" t="s">
        <v>16</v>
      </c>
      <c r="L38" s="49">
        <v>0</v>
      </c>
      <c r="M38" s="49">
        <f>+L38-K38</f>
        <v>0</v>
      </c>
      <c r="N38" s="49">
        <f>+B38+E38+K38</f>
        <v>0</v>
      </c>
      <c r="O38" s="51">
        <f>+C38+F38+L38</f>
        <v>0</v>
      </c>
      <c r="P38" s="52">
        <f>+O38-N38</f>
        <v>0</v>
      </c>
    </row>
    <row r="39" spans="1:20" x14ac:dyDescent="0.2">
      <c r="A39" s="47" t="s">
        <v>43</v>
      </c>
      <c r="B39" s="48" t="s">
        <v>16</v>
      </c>
      <c r="C39" s="54">
        <v>0</v>
      </c>
      <c r="D39" s="50">
        <v>0</v>
      </c>
      <c r="E39" s="53">
        <v>0</v>
      </c>
      <c r="F39" s="43">
        <v>0</v>
      </c>
      <c r="G39" s="44">
        <v>0</v>
      </c>
      <c r="H39" s="48" t="s">
        <v>16</v>
      </c>
      <c r="I39" s="49">
        <f>SUM(I40:I44)</f>
        <v>0</v>
      </c>
      <c r="J39" s="49">
        <f t="shared" si="5"/>
        <v>0</v>
      </c>
      <c r="K39" s="48" t="s">
        <v>16</v>
      </c>
      <c r="L39" s="49">
        <f>SUM(L40:L44)</f>
        <v>210317129.59999999</v>
      </c>
      <c r="M39" s="49">
        <f t="shared" si="6"/>
        <v>210317129.59999999</v>
      </c>
      <c r="N39" s="49">
        <f t="shared" si="4"/>
        <v>0</v>
      </c>
      <c r="O39" s="51">
        <f t="shared" si="4"/>
        <v>210317129.59999999</v>
      </c>
      <c r="P39" s="52">
        <f t="shared" si="2"/>
        <v>210317129.59999999</v>
      </c>
    </row>
    <row r="40" spans="1:20" x14ac:dyDescent="0.2">
      <c r="A40" s="47" t="s">
        <v>44</v>
      </c>
      <c r="B40" s="48" t="s">
        <v>16</v>
      </c>
      <c r="C40" s="54">
        <v>0</v>
      </c>
      <c r="D40" s="50">
        <v>0</v>
      </c>
      <c r="E40" s="53">
        <v>0</v>
      </c>
      <c r="F40" s="43">
        <v>0</v>
      </c>
      <c r="G40" s="44">
        <v>0</v>
      </c>
      <c r="H40" s="48" t="s">
        <v>16</v>
      </c>
      <c r="I40" s="49">
        <v>0</v>
      </c>
      <c r="J40" s="49">
        <f t="shared" si="5"/>
        <v>0</v>
      </c>
      <c r="K40" s="48" t="s">
        <v>16</v>
      </c>
      <c r="L40" s="49">
        <v>553856.4</v>
      </c>
      <c r="M40" s="49">
        <f t="shared" si="6"/>
        <v>553856.4</v>
      </c>
      <c r="N40" s="49">
        <f t="shared" si="4"/>
        <v>0</v>
      </c>
      <c r="O40" s="51">
        <f t="shared" si="4"/>
        <v>553856.4</v>
      </c>
      <c r="P40" s="52">
        <f t="shared" si="2"/>
        <v>553856.4</v>
      </c>
    </row>
    <row r="41" spans="1:20" x14ac:dyDescent="0.2">
      <c r="A41" s="64" t="s">
        <v>45</v>
      </c>
      <c r="B41" s="48" t="s">
        <v>16</v>
      </c>
      <c r="C41" s="54">
        <v>0</v>
      </c>
      <c r="D41" s="50">
        <v>0</v>
      </c>
      <c r="E41" s="53">
        <v>0</v>
      </c>
      <c r="F41" s="43">
        <v>0</v>
      </c>
      <c r="G41" s="44">
        <v>0</v>
      </c>
      <c r="H41" s="48" t="s">
        <v>16</v>
      </c>
      <c r="I41" s="49">
        <v>0</v>
      </c>
      <c r="J41" s="49">
        <f t="shared" si="5"/>
        <v>0</v>
      </c>
      <c r="K41" s="48" t="s">
        <v>16</v>
      </c>
      <c r="L41" s="49">
        <v>39067868</v>
      </c>
      <c r="M41" s="49">
        <f>+L41-K41</f>
        <v>39067868</v>
      </c>
      <c r="N41" s="49">
        <f t="shared" ref="N41:O44" si="7">+B41+E41+K41</f>
        <v>0</v>
      </c>
      <c r="O41" s="51">
        <f t="shared" si="7"/>
        <v>39067868</v>
      </c>
      <c r="P41" s="52">
        <f>+O41-N41</f>
        <v>39067868</v>
      </c>
    </row>
    <row r="42" spans="1:20" x14ac:dyDescent="0.2">
      <c r="A42" s="64" t="s">
        <v>46</v>
      </c>
      <c r="B42" s="48" t="s">
        <v>16</v>
      </c>
      <c r="C42" s="54">
        <v>0</v>
      </c>
      <c r="D42" s="50">
        <v>0</v>
      </c>
      <c r="E42" s="53">
        <v>0</v>
      </c>
      <c r="F42" s="43">
        <v>0</v>
      </c>
      <c r="G42" s="44">
        <v>0</v>
      </c>
      <c r="H42" s="48" t="s">
        <v>16</v>
      </c>
      <c r="I42" s="49">
        <v>0</v>
      </c>
      <c r="J42" s="49">
        <f t="shared" si="5"/>
        <v>0</v>
      </c>
      <c r="K42" s="48" t="s">
        <v>16</v>
      </c>
      <c r="L42" s="49">
        <v>378095</v>
      </c>
      <c r="M42" s="49">
        <f>+L42-K42</f>
        <v>378095</v>
      </c>
      <c r="N42" s="49">
        <f t="shared" si="7"/>
        <v>0</v>
      </c>
      <c r="O42" s="51">
        <f t="shared" si="7"/>
        <v>378095</v>
      </c>
      <c r="P42" s="52">
        <f>+O42-N42</f>
        <v>378095</v>
      </c>
    </row>
    <row r="43" spans="1:20" x14ac:dyDescent="0.2">
      <c r="A43" s="64" t="s">
        <v>47</v>
      </c>
      <c r="B43" s="48" t="s">
        <v>16</v>
      </c>
      <c r="C43" s="54">
        <v>0</v>
      </c>
      <c r="D43" s="50">
        <v>0</v>
      </c>
      <c r="E43" s="53">
        <v>0</v>
      </c>
      <c r="F43" s="43">
        <v>0</v>
      </c>
      <c r="G43" s="44">
        <v>0</v>
      </c>
      <c r="H43" s="48" t="s">
        <v>16</v>
      </c>
      <c r="I43" s="49">
        <v>0</v>
      </c>
      <c r="J43" s="49">
        <f t="shared" si="5"/>
        <v>0</v>
      </c>
      <c r="K43" s="48" t="s">
        <v>16</v>
      </c>
      <c r="L43" s="49">
        <v>120346085.2</v>
      </c>
      <c r="M43" s="49">
        <f>+L43-K43</f>
        <v>120346085.2</v>
      </c>
      <c r="N43" s="49">
        <f t="shared" si="7"/>
        <v>0</v>
      </c>
      <c r="O43" s="51">
        <f t="shared" si="7"/>
        <v>120346085.2</v>
      </c>
      <c r="P43" s="52">
        <f>+O43-N43</f>
        <v>120346085.2</v>
      </c>
    </row>
    <row r="44" spans="1:20" ht="13.5" thickBot="1" x14ac:dyDescent="0.25">
      <c r="A44" s="64" t="s">
        <v>48</v>
      </c>
      <c r="B44" s="48" t="s">
        <v>16</v>
      </c>
      <c r="C44" s="54">
        <v>0</v>
      </c>
      <c r="D44" s="50">
        <v>0</v>
      </c>
      <c r="E44" s="53">
        <v>0</v>
      </c>
      <c r="F44" s="43">
        <v>0</v>
      </c>
      <c r="G44" s="44">
        <v>0</v>
      </c>
      <c r="H44" s="48" t="s">
        <v>16</v>
      </c>
      <c r="I44" s="49">
        <v>0</v>
      </c>
      <c r="J44" s="49">
        <f t="shared" si="5"/>
        <v>0</v>
      </c>
      <c r="K44" s="48" t="s">
        <v>16</v>
      </c>
      <c r="L44" s="49">
        <v>49971225</v>
      </c>
      <c r="M44" s="49">
        <f>+L44-K44</f>
        <v>49971225</v>
      </c>
      <c r="N44" s="49">
        <f t="shared" si="7"/>
        <v>0</v>
      </c>
      <c r="O44" s="51">
        <f t="shared" si="7"/>
        <v>49971225</v>
      </c>
      <c r="P44" s="52">
        <f>+O44-N44</f>
        <v>49971225</v>
      </c>
    </row>
    <row r="45" spans="1:20" s="14" customFormat="1" ht="13.5" thickBot="1" x14ac:dyDescent="0.25">
      <c r="A45" s="25" t="s">
        <v>49</v>
      </c>
      <c r="B45" s="65">
        <f>+B46+B131+B142+B164</f>
        <v>13679296829</v>
      </c>
      <c r="C45" s="66">
        <f>+C46+C131+C142+C164</f>
        <v>0</v>
      </c>
      <c r="D45" s="67">
        <f>+D46+D131+D142+D164</f>
        <v>13679296829</v>
      </c>
      <c r="E45" s="65">
        <f>+E46+E131+E142+E164</f>
        <v>1115355802</v>
      </c>
      <c r="F45" s="68">
        <v>0</v>
      </c>
      <c r="G45" s="67">
        <f t="shared" ref="G45:P45" si="8">+G46+G131+G142+G164</f>
        <v>1115355802</v>
      </c>
      <c r="H45" s="65">
        <f>+H46+H131+H142+H164+H76+H82</f>
        <v>300000000</v>
      </c>
      <c r="I45" s="65">
        <f>+I46+I131+I142+I164</f>
        <v>0</v>
      </c>
      <c r="J45" s="67">
        <f>+J46+J131+J142+J164+J76+J82</f>
        <v>300000000</v>
      </c>
      <c r="K45" s="65">
        <f t="shared" si="8"/>
        <v>16967547.370000001</v>
      </c>
      <c r="L45" s="65">
        <f t="shared" si="8"/>
        <v>0</v>
      </c>
      <c r="M45" s="67">
        <f t="shared" si="8"/>
        <v>16967547.370000001</v>
      </c>
      <c r="N45" s="69">
        <f t="shared" si="8"/>
        <v>15111620178.370001</v>
      </c>
      <c r="O45" s="69">
        <f t="shared" si="8"/>
        <v>0</v>
      </c>
      <c r="P45" s="70">
        <f t="shared" si="8"/>
        <v>15111620178.370001</v>
      </c>
      <c r="Q45" s="36" t="s">
        <v>3</v>
      </c>
      <c r="R45" s="36"/>
      <c r="S45" s="71"/>
      <c r="T45" s="71">
        <f>+R45+S45</f>
        <v>0</v>
      </c>
    </row>
    <row r="46" spans="1:20" s="14" customFormat="1" x14ac:dyDescent="0.2">
      <c r="A46" s="37" t="s">
        <v>50</v>
      </c>
      <c r="B46" s="72">
        <f>+B47+B54+B56+B63+B76+B82+B125+B66</f>
        <v>1106458792</v>
      </c>
      <c r="C46" s="45">
        <f>+C47+C54+C56+C63+C76+C82+C125+C66</f>
        <v>0</v>
      </c>
      <c r="D46" s="73">
        <f t="shared" ref="D46:D109" si="9">+B46-C46</f>
        <v>1106458792</v>
      </c>
      <c r="E46" s="74">
        <f>+E47+E66+E76+E56+E82</f>
        <v>896955802</v>
      </c>
      <c r="F46" s="40">
        <f>+F47+F66</f>
        <v>0</v>
      </c>
      <c r="G46" s="75">
        <f>+E46-F46</f>
        <v>896955802</v>
      </c>
      <c r="H46" s="76">
        <v>0</v>
      </c>
      <c r="I46" s="77">
        <v>0</v>
      </c>
      <c r="J46" s="78">
        <v>0</v>
      </c>
      <c r="K46" s="76">
        <v>0</v>
      </c>
      <c r="L46" s="77">
        <v>0</v>
      </c>
      <c r="M46" s="78">
        <v>0</v>
      </c>
      <c r="N46" s="79">
        <f>+N47+N54+N56+N63+N66+N76+N82+N125</f>
        <v>2303414594</v>
      </c>
      <c r="O46" s="80">
        <f>+C46+F46</f>
        <v>0</v>
      </c>
      <c r="P46" s="81">
        <f>+N46-O46</f>
        <v>2303414594</v>
      </c>
      <c r="Q46" s="36"/>
      <c r="R46" s="36"/>
    </row>
    <row r="47" spans="1:20" s="14" customFormat="1" x14ac:dyDescent="0.2">
      <c r="A47" s="57" t="s">
        <v>51</v>
      </c>
      <c r="B47" s="82">
        <f>+B48+B50+B53</f>
        <v>345221373</v>
      </c>
      <c r="C47" s="83">
        <f>+C48+C50+C53</f>
        <v>0</v>
      </c>
      <c r="D47" s="84">
        <f>+B47-C47</f>
        <v>345221373</v>
      </c>
      <c r="E47" s="85">
        <f>+E48+E50</f>
        <v>378000000</v>
      </c>
      <c r="F47" s="86">
        <f>+F48+F50</f>
        <v>0</v>
      </c>
      <c r="G47" s="87">
        <f>+E47-F47</f>
        <v>378000000</v>
      </c>
      <c r="H47" s="42">
        <v>0</v>
      </c>
      <c r="I47" s="88">
        <v>0</v>
      </c>
      <c r="J47" s="89">
        <v>0</v>
      </c>
      <c r="K47" s="42">
        <v>0</v>
      </c>
      <c r="L47" s="88">
        <v>0</v>
      </c>
      <c r="M47" s="89">
        <v>0</v>
      </c>
      <c r="N47" s="90">
        <f t="shared" ref="N47:N53" si="10">+B47+E47</f>
        <v>723221373</v>
      </c>
      <c r="O47" s="91">
        <f>+C47+F47+L47</f>
        <v>0</v>
      </c>
      <c r="P47" s="92">
        <f>+N47-O47</f>
        <v>723221373</v>
      </c>
      <c r="Q47" s="36"/>
    </row>
    <row r="48" spans="1:20" x14ac:dyDescent="0.2">
      <c r="A48" s="47" t="s">
        <v>52</v>
      </c>
      <c r="B48" s="93">
        <f>+B49</f>
        <v>317216427</v>
      </c>
      <c r="C48" s="51" t="str">
        <f>+C49</f>
        <v>0,00</v>
      </c>
      <c r="D48" s="94">
        <f t="shared" si="9"/>
        <v>317216427</v>
      </c>
      <c r="E48" s="53">
        <f>+E49</f>
        <v>378000000</v>
      </c>
      <c r="F48" s="43">
        <v>0</v>
      </c>
      <c r="G48" s="95">
        <f>+E48-F48</f>
        <v>378000000</v>
      </c>
      <c r="H48" s="42">
        <v>0</v>
      </c>
      <c r="I48" s="43">
        <v>0</v>
      </c>
      <c r="J48" s="44">
        <v>0</v>
      </c>
      <c r="K48" s="42">
        <v>0</v>
      </c>
      <c r="L48" s="43">
        <v>0</v>
      </c>
      <c r="M48" s="44">
        <v>0</v>
      </c>
      <c r="N48" s="96">
        <f t="shared" si="10"/>
        <v>695216427</v>
      </c>
      <c r="O48" s="55">
        <f>+C48+F48+L48</f>
        <v>0</v>
      </c>
      <c r="P48" s="97">
        <f>+N48-O48</f>
        <v>695216427</v>
      </c>
      <c r="Q48" s="98" t="s">
        <v>3</v>
      </c>
    </row>
    <row r="49" spans="1:17" x14ac:dyDescent="0.2">
      <c r="A49" s="47" t="s">
        <v>53</v>
      </c>
      <c r="B49" s="93">
        <f>695216427-E49</f>
        <v>317216427</v>
      </c>
      <c r="C49" s="54" t="s">
        <v>16</v>
      </c>
      <c r="D49" s="94">
        <f t="shared" si="9"/>
        <v>317216427</v>
      </c>
      <c r="E49" s="53">
        <f>317000000+61000000</f>
        <v>378000000</v>
      </c>
      <c r="F49" s="43">
        <v>0</v>
      </c>
      <c r="G49" s="95">
        <f>+E49-F49</f>
        <v>378000000</v>
      </c>
      <c r="H49" s="42">
        <v>0</v>
      </c>
      <c r="I49" s="43">
        <v>0</v>
      </c>
      <c r="J49" s="44">
        <v>0</v>
      </c>
      <c r="K49" s="42">
        <v>0</v>
      </c>
      <c r="L49" s="43">
        <v>0</v>
      </c>
      <c r="M49" s="44">
        <v>0</v>
      </c>
      <c r="N49" s="96">
        <f t="shared" si="10"/>
        <v>695216427</v>
      </c>
      <c r="O49" s="55">
        <f>+C49+F49+L49</f>
        <v>0</v>
      </c>
      <c r="P49" s="97">
        <f t="shared" ref="P49:P115" si="11">+N49-O49</f>
        <v>695216427</v>
      </c>
      <c r="Q49" s="99" t="s">
        <v>3</v>
      </c>
    </row>
    <row r="50" spans="1:17" x14ac:dyDescent="0.2">
      <c r="A50" s="47" t="s">
        <v>54</v>
      </c>
      <c r="B50" s="93">
        <f>+B51+B52</f>
        <v>22964946</v>
      </c>
      <c r="C50" s="54" t="s">
        <v>16</v>
      </c>
      <c r="D50" s="94">
        <f t="shared" si="9"/>
        <v>22964946</v>
      </c>
      <c r="E50" s="53">
        <f>+E51+E52</f>
        <v>0</v>
      </c>
      <c r="F50" s="43">
        <v>0</v>
      </c>
      <c r="G50" s="95">
        <f>+E50-F50</f>
        <v>0</v>
      </c>
      <c r="H50" s="42">
        <v>0</v>
      </c>
      <c r="I50" s="43">
        <v>0</v>
      </c>
      <c r="J50" s="44">
        <v>0</v>
      </c>
      <c r="K50" s="42">
        <v>0</v>
      </c>
      <c r="L50" s="43">
        <v>0</v>
      </c>
      <c r="M50" s="44">
        <v>0</v>
      </c>
      <c r="N50" s="96">
        <f t="shared" si="10"/>
        <v>22964946</v>
      </c>
      <c r="O50" s="54" t="s">
        <v>16</v>
      </c>
      <c r="P50" s="97">
        <f t="shared" si="11"/>
        <v>22964946</v>
      </c>
      <c r="Q50" s="99" t="s">
        <v>3</v>
      </c>
    </row>
    <row r="51" spans="1:17" x14ac:dyDescent="0.2">
      <c r="A51" s="47" t="s">
        <v>55</v>
      </c>
      <c r="B51" s="93">
        <f>4580835-E51</f>
        <v>4580835</v>
      </c>
      <c r="C51" s="54" t="s">
        <v>16</v>
      </c>
      <c r="D51" s="94">
        <f t="shared" si="9"/>
        <v>4580835</v>
      </c>
      <c r="E51" s="53">
        <v>0</v>
      </c>
      <c r="F51" s="43">
        <v>0</v>
      </c>
      <c r="G51" s="100">
        <v>0</v>
      </c>
      <c r="H51" s="42">
        <v>0</v>
      </c>
      <c r="I51" s="43">
        <v>0</v>
      </c>
      <c r="J51" s="44">
        <v>0</v>
      </c>
      <c r="K51" s="42">
        <v>0</v>
      </c>
      <c r="L51" s="43">
        <v>0</v>
      </c>
      <c r="M51" s="44">
        <v>0</v>
      </c>
      <c r="N51" s="96">
        <f t="shared" si="10"/>
        <v>4580835</v>
      </c>
      <c r="O51" s="54" t="s">
        <v>16</v>
      </c>
      <c r="P51" s="97">
        <f t="shared" si="11"/>
        <v>4580835</v>
      </c>
      <c r="Q51" s="99" t="s">
        <v>3</v>
      </c>
    </row>
    <row r="52" spans="1:17" x14ac:dyDescent="0.2">
      <c r="A52" s="47" t="s">
        <v>56</v>
      </c>
      <c r="B52" s="93">
        <f>18384111-E52</f>
        <v>18384111</v>
      </c>
      <c r="C52" s="54" t="s">
        <v>16</v>
      </c>
      <c r="D52" s="94">
        <f t="shared" si="9"/>
        <v>18384111</v>
      </c>
      <c r="E52" s="53">
        <v>0</v>
      </c>
      <c r="F52" s="43">
        <v>0</v>
      </c>
      <c r="G52" s="95">
        <f>+E52-F52</f>
        <v>0</v>
      </c>
      <c r="H52" s="42">
        <v>0</v>
      </c>
      <c r="I52" s="43">
        <v>0</v>
      </c>
      <c r="J52" s="44">
        <v>0</v>
      </c>
      <c r="K52" s="42">
        <v>0</v>
      </c>
      <c r="L52" s="43">
        <v>0</v>
      </c>
      <c r="M52" s="44">
        <v>0</v>
      </c>
      <c r="N52" s="96">
        <f t="shared" si="10"/>
        <v>18384111</v>
      </c>
      <c r="O52" s="54" t="s">
        <v>16</v>
      </c>
      <c r="P52" s="97">
        <f t="shared" si="11"/>
        <v>18384111</v>
      </c>
      <c r="Q52" s="101" t="s">
        <v>3</v>
      </c>
    </row>
    <row r="53" spans="1:17" x14ac:dyDescent="0.2">
      <c r="A53" s="47" t="s">
        <v>57</v>
      </c>
      <c r="B53" s="102">
        <v>5040000</v>
      </c>
      <c r="C53" s="54" t="s">
        <v>16</v>
      </c>
      <c r="D53" s="94">
        <f t="shared" si="9"/>
        <v>5040000</v>
      </c>
      <c r="E53" s="42">
        <v>0</v>
      </c>
      <c r="F53" s="43">
        <v>0</v>
      </c>
      <c r="G53" s="100">
        <v>0</v>
      </c>
      <c r="H53" s="42">
        <v>0</v>
      </c>
      <c r="I53" s="43">
        <v>0</v>
      </c>
      <c r="J53" s="44">
        <v>0</v>
      </c>
      <c r="K53" s="42">
        <v>0</v>
      </c>
      <c r="L53" s="43">
        <v>0</v>
      </c>
      <c r="M53" s="44">
        <v>0</v>
      </c>
      <c r="N53" s="96">
        <f t="shared" si="10"/>
        <v>5040000</v>
      </c>
      <c r="O53" s="54" t="s">
        <v>16</v>
      </c>
      <c r="P53" s="97">
        <f t="shared" si="11"/>
        <v>5040000</v>
      </c>
      <c r="Q53" s="99" t="s">
        <v>3</v>
      </c>
    </row>
    <row r="54" spans="1:17" s="14" customFormat="1" x14ac:dyDescent="0.2">
      <c r="A54" s="57" t="s">
        <v>58</v>
      </c>
      <c r="B54" s="82">
        <f>+B55</f>
        <v>11890188</v>
      </c>
      <c r="C54" s="83" t="str">
        <f>+C55</f>
        <v>0,00</v>
      </c>
      <c r="D54" s="84">
        <f t="shared" si="9"/>
        <v>11890188</v>
      </c>
      <c r="E54" s="82">
        <f>+E55</f>
        <v>0</v>
      </c>
      <c r="F54" s="88">
        <v>0</v>
      </c>
      <c r="G54" s="103">
        <v>0</v>
      </c>
      <c r="H54" s="104">
        <v>0</v>
      </c>
      <c r="I54" s="88">
        <v>0</v>
      </c>
      <c r="J54" s="89">
        <v>0</v>
      </c>
      <c r="K54" s="104">
        <v>0</v>
      </c>
      <c r="L54" s="88">
        <v>0</v>
      </c>
      <c r="M54" s="89">
        <v>0</v>
      </c>
      <c r="N54" s="90">
        <f>+B54+E54+L54</f>
        <v>11890188</v>
      </c>
      <c r="O54" s="83">
        <f t="shared" ref="O54:O61" si="12">+C54+F54+L54</f>
        <v>0</v>
      </c>
      <c r="P54" s="92">
        <f>+N54-O54</f>
        <v>11890188</v>
      </c>
      <c r="Q54" s="14" t="s">
        <v>3</v>
      </c>
    </row>
    <row r="55" spans="1:17" x14ac:dyDescent="0.2">
      <c r="A55" s="47" t="s">
        <v>59</v>
      </c>
      <c r="B55" s="93">
        <f>11890188-E55</f>
        <v>11890188</v>
      </c>
      <c r="C55" s="54" t="s">
        <v>16</v>
      </c>
      <c r="D55" s="105">
        <f t="shared" si="9"/>
        <v>11890188</v>
      </c>
      <c r="E55" s="53">
        <v>0</v>
      </c>
      <c r="F55" s="43">
        <v>0</v>
      </c>
      <c r="G55" s="95">
        <f>+E55-F55</f>
        <v>0</v>
      </c>
      <c r="H55" s="42">
        <v>0</v>
      </c>
      <c r="I55" s="43">
        <v>0</v>
      </c>
      <c r="J55" s="44">
        <v>0</v>
      </c>
      <c r="K55" s="42">
        <v>0</v>
      </c>
      <c r="L55" s="43">
        <v>0</v>
      </c>
      <c r="M55" s="44">
        <v>0</v>
      </c>
      <c r="N55" s="96">
        <f t="shared" ref="N55:N62" si="13">+B55+E55</f>
        <v>11890188</v>
      </c>
      <c r="O55" s="51">
        <f t="shared" si="12"/>
        <v>0</v>
      </c>
      <c r="P55" s="97">
        <f t="shared" si="11"/>
        <v>11890188</v>
      </c>
      <c r="Q55" s="99" t="s">
        <v>3</v>
      </c>
    </row>
    <row r="56" spans="1:17" s="14" customFormat="1" x14ac:dyDescent="0.2">
      <c r="A56" s="57" t="s">
        <v>60</v>
      </c>
      <c r="B56" s="106">
        <f>+B57+B58+B60+B61+B62+B59</f>
        <v>80620534</v>
      </c>
      <c r="C56" s="91">
        <f>+C57+C58+C60+C61+C62</f>
        <v>0</v>
      </c>
      <c r="D56" s="84">
        <f t="shared" si="9"/>
        <v>80620534</v>
      </c>
      <c r="E56" s="106">
        <f>+E57+E58+E60+E61+E62+E59</f>
        <v>77000000</v>
      </c>
      <c r="F56" s="88">
        <v>0</v>
      </c>
      <c r="G56" s="106">
        <f>+G57+G58+G60+G61+G62+G59</f>
        <v>77000000</v>
      </c>
      <c r="H56" s="104">
        <v>0</v>
      </c>
      <c r="I56" s="88">
        <v>0</v>
      </c>
      <c r="J56" s="89">
        <v>0</v>
      </c>
      <c r="K56" s="104">
        <v>0</v>
      </c>
      <c r="L56" s="88">
        <v>0</v>
      </c>
      <c r="M56" s="89">
        <v>0</v>
      </c>
      <c r="N56" s="90">
        <f t="shared" si="13"/>
        <v>157620534</v>
      </c>
      <c r="O56" s="83">
        <f t="shared" si="12"/>
        <v>0</v>
      </c>
      <c r="P56" s="92">
        <f>+N56-O56</f>
        <v>157620534</v>
      </c>
    </row>
    <row r="57" spans="1:17" x14ac:dyDescent="0.2">
      <c r="A57" s="47" t="s">
        <v>61</v>
      </c>
      <c r="B57" s="93">
        <f>32973400-E57</f>
        <v>16973400</v>
      </c>
      <c r="C57" s="55">
        <v>0</v>
      </c>
      <c r="D57" s="105">
        <f t="shared" si="9"/>
        <v>16973400</v>
      </c>
      <c r="E57" s="53">
        <v>16000000</v>
      </c>
      <c r="F57" s="43">
        <v>0</v>
      </c>
      <c r="G57" s="95">
        <f t="shared" ref="G57:G62" si="14">+E57-F57</f>
        <v>16000000</v>
      </c>
      <c r="H57" s="42">
        <v>0</v>
      </c>
      <c r="I57" s="43">
        <v>0</v>
      </c>
      <c r="J57" s="44">
        <v>0</v>
      </c>
      <c r="K57" s="42">
        <v>0</v>
      </c>
      <c r="L57" s="43">
        <v>0</v>
      </c>
      <c r="M57" s="44">
        <v>0</v>
      </c>
      <c r="N57" s="96">
        <f t="shared" si="13"/>
        <v>32973400</v>
      </c>
      <c r="O57" s="51">
        <f t="shared" si="12"/>
        <v>0</v>
      </c>
      <c r="P57" s="97">
        <f t="shared" si="11"/>
        <v>32973400</v>
      </c>
      <c r="Q57" s="2" t="s">
        <v>3</v>
      </c>
    </row>
    <row r="58" spans="1:17" x14ac:dyDescent="0.2">
      <c r="A58" s="47" t="s">
        <v>62</v>
      </c>
      <c r="B58" s="107">
        <f>16189371-E58</f>
        <v>8189371</v>
      </c>
      <c r="C58" s="55">
        <v>0</v>
      </c>
      <c r="D58" s="105">
        <f t="shared" si="9"/>
        <v>8189371</v>
      </c>
      <c r="E58" s="53">
        <v>8000000</v>
      </c>
      <c r="F58" s="43">
        <v>0</v>
      </c>
      <c r="G58" s="95">
        <f t="shared" si="14"/>
        <v>8000000</v>
      </c>
      <c r="H58" s="42">
        <v>0</v>
      </c>
      <c r="I58" s="43">
        <v>0</v>
      </c>
      <c r="J58" s="44">
        <v>0</v>
      </c>
      <c r="K58" s="42">
        <v>0</v>
      </c>
      <c r="L58" s="43">
        <v>0</v>
      </c>
      <c r="M58" s="44">
        <v>0</v>
      </c>
      <c r="N58" s="96">
        <f t="shared" si="13"/>
        <v>16189371</v>
      </c>
      <c r="O58" s="51">
        <f t="shared" si="12"/>
        <v>0</v>
      </c>
      <c r="P58" s="97">
        <f t="shared" si="11"/>
        <v>16189371</v>
      </c>
    </row>
    <row r="59" spans="1:17" x14ac:dyDescent="0.2">
      <c r="A59" s="47" t="s">
        <v>63</v>
      </c>
      <c r="B59" s="107">
        <f>5000000-E59</f>
        <v>2500000</v>
      </c>
      <c r="C59" s="55">
        <v>0</v>
      </c>
      <c r="D59" s="105">
        <f t="shared" si="9"/>
        <v>2500000</v>
      </c>
      <c r="E59" s="53">
        <v>2500000</v>
      </c>
      <c r="F59" s="43">
        <v>0</v>
      </c>
      <c r="G59" s="95">
        <f t="shared" si="14"/>
        <v>2500000</v>
      </c>
      <c r="H59" s="42">
        <v>0</v>
      </c>
      <c r="I59" s="43">
        <v>0</v>
      </c>
      <c r="J59" s="44">
        <v>0</v>
      </c>
      <c r="K59" s="42">
        <v>0</v>
      </c>
      <c r="L59" s="43">
        <v>0</v>
      </c>
      <c r="M59" s="44">
        <v>0</v>
      </c>
      <c r="N59" s="96">
        <f>+B59+E59</f>
        <v>5000000</v>
      </c>
      <c r="O59" s="51">
        <f>+C59+F59+L59</f>
        <v>0</v>
      </c>
      <c r="P59" s="97">
        <f>+N59-O59</f>
        <v>5000000</v>
      </c>
    </row>
    <row r="60" spans="1:17" x14ac:dyDescent="0.2">
      <c r="A60" s="47" t="s">
        <v>64</v>
      </c>
      <c r="B60" s="107">
        <f>4149800-E60</f>
        <v>2149800</v>
      </c>
      <c r="C60" s="54" t="s">
        <v>16</v>
      </c>
      <c r="D60" s="105">
        <f t="shared" si="9"/>
        <v>2149800</v>
      </c>
      <c r="E60" s="53">
        <v>2000000</v>
      </c>
      <c r="F60" s="43">
        <v>0</v>
      </c>
      <c r="G60" s="95">
        <f t="shared" si="14"/>
        <v>2000000</v>
      </c>
      <c r="H60" s="42">
        <v>0</v>
      </c>
      <c r="I60" s="43">
        <v>0</v>
      </c>
      <c r="J60" s="44">
        <v>0</v>
      </c>
      <c r="K60" s="42">
        <v>0</v>
      </c>
      <c r="L60" s="43">
        <v>0</v>
      </c>
      <c r="M60" s="44">
        <v>0</v>
      </c>
      <c r="N60" s="96">
        <f t="shared" si="13"/>
        <v>4149800</v>
      </c>
      <c r="O60" s="51">
        <f t="shared" si="12"/>
        <v>0</v>
      </c>
      <c r="P60" s="97">
        <f t="shared" si="11"/>
        <v>4149800</v>
      </c>
    </row>
    <row r="61" spans="1:17" x14ac:dyDescent="0.2">
      <c r="A61" s="47" t="s">
        <v>65</v>
      </c>
      <c r="B61" s="107">
        <f>91483495-E61</f>
        <v>46483495</v>
      </c>
      <c r="C61" s="54" t="s">
        <v>16</v>
      </c>
      <c r="D61" s="105">
        <f t="shared" si="9"/>
        <v>46483495</v>
      </c>
      <c r="E61" s="53">
        <v>45000000</v>
      </c>
      <c r="F61" s="43">
        <v>0</v>
      </c>
      <c r="G61" s="95">
        <f t="shared" si="14"/>
        <v>45000000</v>
      </c>
      <c r="H61" s="42">
        <v>0</v>
      </c>
      <c r="I61" s="43">
        <v>0</v>
      </c>
      <c r="J61" s="44">
        <v>0</v>
      </c>
      <c r="K61" s="42">
        <v>0</v>
      </c>
      <c r="L61" s="43">
        <v>0</v>
      </c>
      <c r="M61" s="44">
        <v>0</v>
      </c>
      <c r="N61" s="96">
        <f t="shared" si="13"/>
        <v>91483495</v>
      </c>
      <c r="O61" s="51">
        <f t="shared" si="12"/>
        <v>0</v>
      </c>
      <c r="P61" s="97">
        <f t="shared" si="11"/>
        <v>91483495</v>
      </c>
    </row>
    <row r="62" spans="1:17" x14ac:dyDescent="0.2">
      <c r="A62" s="47" t="s">
        <v>66</v>
      </c>
      <c r="B62" s="107">
        <f>7824468-E62</f>
        <v>4324468</v>
      </c>
      <c r="C62" s="54" t="s">
        <v>16</v>
      </c>
      <c r="D62" s="105">
        <f t="shared" si="9"/>
        <v>4324468</v>
      </c>
      <c r="E62" s="53">
        <v>3500000</v>
      </c>
      <c r="F62" s="43">
        <v>0</v>
      </c>
      <c r="G62" s="95">
        <f t="shared" si="14"/>
        <v>3500000</v>
      </c>
      <c r="H62" s="42">
        <v>0</v>
      </c>
      <c r="I62" s="43">
        <v>0</v>
      </c>
      <c r="J62" s="44">
        <v>0</v>
      </c>
      <c r="K62" s="42">
        <v>0</v>
      </c>
      <c r="L62" s="43">
        <v>0</v>
      </c>
      <c r="M62" s="44">
        <v>0</v>
      </c>
      <c r="N62" s="96">
        <f t="shared" si="13"/>
        <v>7824468</v>
      </c>
      <c r="O62" s="54" t="s">
        <v>16</v>
      </c>
      <c r="P62" s="97">
        <f t="shared" si="11"/>
        <v>7824468</v>
      </c>
    </row>
    <row r="63" spans="1:17" s="14" customFormat="1" x14ac:dyDescent="0.2">
      <c r="A63" s="57" t="s">
        <v>67</v>
      </c>
      <c r="B63" s="106">
        <f>+B64+B65</f>
        <v>9520000</v>
      </c>
      <c r="C63" s="54" t="s">
        <v>16</v>
      </c>
      <c r="D63" s="84">
        <f t="shared" si="9"/>
        <v>9520000</v>
      </c>
      <c r="E63" s="104">
        <v>0</v>
      </c>
      <c r="F63" s="88">
        <v>0</v>
      </c>
      <c r="G63" s="103">
        <v>0</v>
      </c>
      <c r="H63" s="104">
        <v>0</v>
      </c>
      <c r="I63" s="88">
        <v>0</v>
      </c>
      <c r="J63" s="89">
        <v>0</v>
      </c>
      <c r="K63" s="104">
        <v>0</v>
      </c>
      <c r="L63" s="88">
        <v>0</v>
      </c>
      <c r="M63" s="89">
        <v>0</v>
      </c>
      <c r="N63" s="90">
        <f>+D63+G63</f>
        <v>9520000</v>
      </c>
      <c r="O63" s="82">
        <f>+E63+K63</f>
        <v>0</v>
      </c>
      <c r="P63" s="92">
        <f>+N63-O63</f>
        <v>9520000</v>
      </c>
    </row>
    <row r="64" spans="1:17" x14ac:dyDescent="0.2">
      <c r="A64" s="47" t="s">
        <v>68</v>
      </c>
      <c r="B64" s="107">
        <v>5711700</v>
      </c>
      <c r="C64" s="54" t="s">
        <v>16</v>
      </c>
      <c r="D64" s="105">
        <f t="shared" si="9"/>
        <v>5711700</v>
      </c>
      <c r="E64" s="42">
        <v>0</v>
      </c>
      <c r="F64" s="43">
        <v>0</v>
      </c>
      <c r="G64" s="100">
        <v>0</v>
      </c>
      <c r="H64" s="42">
        <v>0</v>
      </c>
      <c r="I64" s="43">
        <v>0</v>
      </c>
      <c r="J64" s="44">
        <v>0</v>
      </c>
      <c r="K64" s="42">
        <v>0</v>
      </c>
      <c r="L64" s="43">
        <v>0</v>
      </c>
      <c r="M64" s="44">
        <v>0</v>
      </c>
      <c r="N64" s="96">
        <f t="shared" ref="N64:N81" si="15">+B64+E64</f>
        <v>5711700</v>
      </c>
      <c r="O64" s="54" t="s">
        <v>16</v>
      </c>
      <c r="P64" s="97">
        <f t="shared" si="11"/>
        <v>5711700</v>
      </c>
    </row>
    <row r="65" spans="1:18" x14ac:dyDescent="0.2">
      <c r="A65" s="47" t="s">
        <v>69</v>
      </c>
      <c r="B65" s="107">
        <v>3808300</v>
      </c>
      <c r="C65" s="54" t="s">
        <v>16</v>
      </c>
      <c r="D65" s="105">
        <f t="shared" si="9"/>
        <v>3808300</v>
      </c>
      <c r="E65" s="42">
        <v>0</v>
      </c>
      <c r="F65" s="43">
        <v>0</v>
      </c>
      <c r="G65" s="100">
        <v>0</v>
      </c>
      <c r="H65" s="42">
        <v>0</v>
      </c>
      <c r="I65" s="43">
        <v>0</v>
      </c>
      <c r="J65" s="44">
        <v>0</v>
      </c>
      <c r="K65" s="42">
        <v>0</v>
      </c>
      <c r="L65" s="43">
        <v>0</v>
      </c>
      <c r="M65" s="44">
        <v>0</v>
      </c>
      <c r="N65" s="96">
        <f t="shared" si="15"/>
        <v>3808300</v>
      </c>
      <c r="O65" s="54" t="s">
        <v>16</v>
      </c>
      <c r="P65" s="97">
        <f t="shared" si="11"/>
        <v>3808300</v>
      </c>
    </row>
    <row r="66" spans="1:18" x14ac:dyDescent="0.2">
      <c r="A66" s="57" t="s">
        <v>70</v>
      </c>
      <c r="B66" s="82">
        <f>SUM(B67:B73)</f>
        <v>249511838</v>
      </c>
      <c r="C66" s="83">
        <f>SUM(C67:C73)</f>
        <v>0</v>
      </c>
      <c r="D66" s="84">
        <f t="shared" si="9"/>
        <v>249511838</v>
      </c>
      <c r="E66" s="85">
        <f>SUM(E67:E73)</f>
        <v>206000000</v>
      </c>
      <c r="F66" s="86">
        <f>SUM(F67:F73)</f>
        <v>0</v>
      </c>
      <c r="G66" s="87">
        <f t="shared" ref="G66:G74" si="16">+E66-F66</f>
        <v>206000000</v>
      </c>
      <c r="H66" s="42">
        <v>0</v>
      </c>
      <c r="I66" s="43">
        <v>0</v>
      </c>
      <c r="J66" s="44">
        <v>0</v>
      </c>
      <c r="K66" s="42">
        <v>0</v>
      </c>
      <c r="L66" s="43">
        <v>0</v>
      </c>
      <c r="M66" s="44">
        <v>0</v>
      </c>
      <c r="N66" s="90">
        <f t="shared" si="15"/>
        <v>455511838</v>
      </c>
      <c r="O66" s="83">
        <f>+C66+F66</f>
        <v>0</v>
      </c>
      <c r="P66" s="92">
        <f t="shared" si="11"/>
        <v>455511838</v>
      </c>
      <c r="Q66" s="99"/>
      <c r="R66" s="99"/>
    </row>
    <row r="67" spans="1:18" x14ac:dyDescent="0.2">
      <c r="A67" s="47" t="s">
        <v>71</v>
      </c>
      <c r="B67" s="108">
        <f>60073608-E67</f>
        <v>32573608</v>
      </c>
      <c r="C67" s="55">
        <v>0</v>
      </c>
      <c r="D67" s="105">
        <f t="shared" si="9"/>
        <v>32573608</v>
      </c>
      <c r="E67" s="53">
        <v>27500000</v>
      </c>
      <c r="F67" s="109">
        <v>0</v>
      </c>
      <c r="G67" s="95">
        <f t="shared" si="16"/>
        <v>27500000</v>
      </c>
      <c r="H67" s="110"/>
      <c r="I67" s="43">
        <v>0</v>
      </c>
      <c r="J67" s="44">
        <v>0</v>
      </c>
      <c r="K67" s="110"/>
      <c r="L67" s="43">
        <v>0</v>
      </c>
      <c r="M67" s="44">
        <v>0</v>
      </c>
      <c r="N67" s="96">
        <f t="shared" si="15"/>
        <v>60073608</v>
      </c>
      <c r="O67" s="51">
        <f>+C67+F67+L67</f>
        <v>0</v>
      </c>
      <c r="P67" s="97">
        <f t="shared" si="11"/>
        <v>60073608</v>
      </c>
      <c r="Q67" s="99"/>
    </row>
    <row r="68" spans="1:18" x14ac:dyDescent="0.2">
      <c r="A68" s="47" t="s">
        <v>72</v>
      </c>
      <c r="B68" s="108">
        <f>120939996-E68</f>
        <v>65939996</v>
      </c>
      <c r="C68" s="55">
        <v>0</v>
      </c>
      <c r="D68" s="105">
        <f t="shared" si="9"/>
        <v>65939996</v>
      </c>
      <c r="E68" s="53">
        <v>55000000</v>
      </c>
      <c r="F68" s="109">
        <v>0</v>
      </c>
      <c r="G68" s="95">
        <f t="shared" si="16"/>
        <v>55000000</v>
      </c>
      <c r="H68" s="42">
        <v>0</v>
      </c>
      <c r="I68" s="43">
        <v>0</v>
      </c>
      <c r="J68" s="44">
        <v>0</v>
      </c>
      <c r="K68" s="42">
        <v>0</v>
      </c>
      <c r="L68" s="43">
        <v>0</v>
      </c>
      <c r="M68" s="44">
        <v>0</v>
      </c>
      <c r="N68" s="96">
        <f t="shared" si="15"/>
        <v>120939996</v>
      </c>
      <c r="O68" s="51">
        <f t="shared" ref="O68:O74" si="17">+C68+F68+L68</f>
        <v>0</v>
      </c>
      <c r="P68" s="97">
        <f t="shared" si="11"/>
        <v>120939996</v>
      </c>
      <c r="Q68" s="99"/>
    </row>
    <row r="69" spans="1:18" x14ac:dyDescent="0.2">
      <c r="A69" s="47" t="s">
        <v>73</v>
      </c>
      <c r="B69" s="108">
        <f>7820408-E69</f>
        <v>3320408</v>
      </c>
      <c r="C69" s="55">
        <v>0</v>
      </c>
      <c r="D69" s="105">
        <f t="shared" si="9"/>
        <v>3320408</v>
      </c>
      <c r="E69" s="53">
        <v>4500000</v>
      </c>
      <c r="F69" s="43">
        <v>0</v>
      </c>
      <c r="G69" s="95">
        <f t="shared" si="16"/>
        <v>4500000</v>
      </c>
      <c r="H69" s="42">
        <v>0</v>
      </c>
      <c r="I69" s="43">
        <v>0</v>
      </c>
      <c r="J69" s="44">
        <v>0</v>
      </c>
      <c r="K69" s="42">
        <v>0</v>
      </c>
      <c r="L69" s="43">
        <v>0</v>
      </c>
      <c r="M69" s="44">
        <v>0</v>
      </c>
      <c r="N69" s="96">
        <f t="shared" si="15"/>
        <v>7820408</v>
      </c>
      <c r="O69" s="51">
        <f t="shared" si="17"/>
        <v>0</v>
      </c>
      <c r="P69" s="97">
        <f t="shared" si="11"/>
        <v>7820408</v>
      </c>
    </row>
    <row r="70" spans="1:18" x14ac:dyDescent="0.2">
      <c r="A70" s="47" t="s">
        <v>74</v>
      </c>
      <c r="B70" s="108">
        <f>57529642-E70</f>
        <v>31529642</v>
      </c>
      <c r="C70" s="55">
        <v>0</v>
      </c>
      <c r="D70" s="105">
        <f t="shared" si="9"/>
        <v>31529642</v>
      </c>
      <c r="E70" s="53">
        <v>26000000</v>
      </c>
      <c r="F70" s="109">
        <v>0</v>
      </c>
      <c r="G70" s="95">
        <f t="shared" si="16"/>
        <v>26000000</v>
      </c>
      <c r="H70" s="42">
        <v>0</v>
      </c>
      <c r="I70" s="43">
        <v>0</v>
      </c>
      <c r="J70" s="44">
        <v>0</v>
      </c>
      <c r="K70" s="42">
        <v>0</v>
      </c>
      <c r="L70" s="43">
        <v>0</v>
      </c>
      <c r="M70" s="44">
        <v>0</v>
      </c>
      <c r="N70" s="96">
        <f t="shared" si="15"/>
        <v>57529642</v>
      </c>
      <c r="O70" s="51">
        <f t="shared" si="17"/>
        <v>0</v>
      </c>
      <c r="P70" s="97">
        <f t="shared" si="11"/>
        <v>57529642</v>
      </c>
      <c r="Q70" s="99"/>
    </row>
    <row r="71" spans="1:18" x14ac:dyDescent="0.2">
      <c r="A71" s="47" t="s">
        <v>75</v>
      </c>
      <c r="B71" s="108">
        <f>75403674-E71</f>
        <v>40403674</v>
      </c>
      <c r="C71" s="55">
        <v>0</v>
      </c>
      <c r="D71" s="105">
        <f t="shared" si="9"/>
        <v>40403674</v>
      </c>
      <c r="E71" s="53">
        <v>35000000</v>
      </c>
      <c r="F71" s="109">
        <v>0</v>
      </c>
      <c r="G71" s="95">
        <f t="shared" si="16"/>
        <v>35000000</v>
      </c>
      <c r="H71" s="42">
        <v>0</v>
      </c>
      <c r="I71" s="43">
        <v>0</v>
      </c>
      <c r="J71" s="44">
        <v>0</v>
      </c>
      <c r="K71" s="42">
        <v>0</v>
      </c>
      <c r="L71" s="43">
        <v>0</v>
      </c>
      <c r="M71" s="44">
        <v>0</v>
      </c>
      <c r="N71" s="96">
        <f t="shared" si="15"/>
        <v>75403674</v>
      </c>
      <c r="O71" s="51">
        <f t="shared" si="17"/>
        <v>0</v>
      </c>
      <c r="P71" s="97">
        <f t="shared" si="11"/>
        <v>75403674</v>
      </c>
      <c r="Q71" s="99"/>
    </row>
    <row r="72" spans="1:18" x14ac:dyDescent="0.2">
      <c r="A72" s="47" t="s">
        <v>76</v>
      </c>
      <c r="B72" s="108">
        <f>49160163-E72</f>
        <v>31160163</v>
      </c>
      <c r="C72" s="55">
        <v>0</v>
      </c>
      <c r="D72" s="105">
        <f t="shared" si="9"/>
        <v>31160163</v>
      </c>
      <c r="E72" s="53">
        <v>18000000</v>
      </c>
      <c r="F72" s="109">
        <v>0</v>
      </c>
      <c r="G72" s="95">
        <f t="shared" si="16"/>
        <v>18000000</v>
      </c>
      <c r="H72" s="42">
        <v>0</v>
      </c>
      <c r="I72" s="43">
        <v>0</v>
      </c>
      <c r="J72" s="44">
        <v>0</v>
      </c>
      <c r="K72" s="42">
        <v>0</v>
      </c>
      <c r="L72" s="43">
        <v>0</v>
      </c>
      <c r="M72" s="44">
        <v>0</v>
      </c>
      <c r="N72" s="96">
        <f t="shared" si="15"/>
        <v>49160163</v>
      </c>
      <c r="O72" s="51">
        <f t="shared" si="17"/>
        <v>0</v>
      </c>
      <c r="P72" s="97">
        <f t="shared" si="11"/>
        <v>49160163</v>
      </c>
    </row>
    <row r="73" spans="1:18" x14ac:dyDescent="0.2">
      <c r="A73" s="47" t="s">
        <v>77</v>
      </c>
      <c r="B73" s="108">
        <f>SUM(B74:B75)</f>
        <v>44584347</v>
      </c>
      <c r="C73" s="111">
        <f>SUM(C74:C74)</f>
        <v>0</v>
      </c>
      <c r="D73" s="105">
        <f t="shared" si="9"/>
        <v>44584347</v>
      </c>
      <c r="E73" s="53">
        <f>SUM(E74:E74)</f>
        <v>40000000</v>
      </c>
      <c r="F73" s="43">
        <v>0</v>
      </c>
      <c r="G73" s="95">
        <f t="shared" si="16"/>
        <v>40000000</v>
      </c>
      <c r="H73" s="42">
        <v>0</v>
      </c>
      <c r="I73" s="43">
        <v>0</v>
      </c>
      <c r="J73" s="44">
        <v>0</v>
      </c>
      <c r="K73" s="42">
        <v>0</v>
      </c>
      <c r="L73" s="43">
        <v>0</v>
      </c>
      <c r="M73" s="44">
        <v>0</v>
      </c>
      <c r="N73" s="96">
        <f t="shared" si="15"/>
        <v>84584347</v>
      </c>
      <c r="O73" s="51">
        <f t="shared" si="17"/>
        <v>0</v>
      </c>
      <c r="P73" s="97">
        <f t="shared" si="11"/>
        <v>84584347</v>
      </c>
    </row>
    <row r="74" spans="1:18" x14ac:dyDescent="0.2">
      <c r="A74" s="47" t="s">
        <v>78</v>
      </c>
      <c r="B74" s="108">
        <f>81288347-E74</f>
        <v>41288347</v>
      </c>
      <c r="C74" s="55">
        <v>0</v>
      </c>
      <c r="D74" s="105">
        <f t="shared" si="9"/>
        <v>41288347</v>
      </c>
      <c r="E74" s="53">
        <v>40000000</v>
      </c>
      <c r="F74" s="43">
        <v>0</v>
      </c>
      <c r="G74" s="95">
        <f t="shared" si="16"/>
        <v>40000000</v>
      </c>
      <c r="H74" s="42">
        <v>0</v>
      </c>
      <c r="I74" s="43">
        <v>0</v>
      </c>
      <c r="J74" s="44">
        <v>0</v>
      </c>
      <c r="K74" s="42">
        <v>0</v>
      </c>
      <c r="L74" s="43">
        <v>0</v>
      </c>
      <c r="M74" s="44">
        <v>0</v>
      </c>
      <c r="N74" s="96">
        <f t="shared" si="15"/>
        <v>81288347</v>
      </c>
      <c r="O74" s="51">
        <f t="shared" si="17"/>
        <v>0</v>
      </c>
      <c r="P74" s="97">
        <f t="shared" si="11"/>
        <v>81288347</v>
      </c>
    </row>
    <row r="75" spans="1:18" x14ac:dyDescent="0.2">
      <c r="A75" s="47" t="s">
        <v>79</v>
      </c>
      <c r="B75" s="108">
        <v>3296000</v>
      </c>
      <c r="C75" s="55">
        <v>0</v>
      </c>
      <c r="D75" s="105">
        <f>+B75-C75</f>
        <v>3296000</v>
      </c>
      <c r="E75" s="53">
        <v>0</v>
      </c>
      <c r="F75" s="109">
        <v>0</v>
      </c>
      <c r="G75" s="95">
        <f>+E75-F75</f>
        <v>0</v>
      </c>
      <c r="H75" s="42">
        <v>0</v>
      </c>
      <c r="I75" s="43">
        <v>0</v>
      </c>
      <c r="J75" s="44">
        <v>0</v>
      </c>
      <c r="K75" s="42">
        <v>0</v>
      </c>
      <c r="L75" s="43">
        <v>0</v>
      </c>
      <c r="M75" s="44">
        <v>0</v>
      </c>
      <c r="N75" s="96">
        <f>+B75+E75</f>
        <v>3296000</v>
      </c>
      <c r="O75" s="51">
        <f>+C75+F75+L75</f>
        <v>0</v>
      </c>
      <c r="P75" s="97">
        <f>+N75-O75</f>
        <v>3296000</v>
      </c>
    </row>
    <row r="76" spans="1:18" s="14" customFormat="1" x14ac:dyDescent="0.2">
      <c r="A76" s="57" t="s">
        <v>80</v>
      </c>
      <c r="B76" s="82">
        <f>+B77+B81</f>
        <v>0</v>
      </c>
      <c r="C76" s="83">
        <f>+C77</f>
        <v>0</v>
      </c>
      <c r="D76" s="84">
        <f t="shared" si="9"/>
        <v>0</v>
      </c>
      <c r="E76" s="82">
        <f>+E77+E81</f>
        <v>234572016</v>
      </c>
      <c r="F76" s="83">
        <f>+F77</f>
        <v>0</v>
      </c>
      <c r="G76" s="84">
        <f>+G77+G81</f>
        <v>234572016</v>
      </c>
      <c r="H76" s="82">
        <f>+H77+H81</f>
        <v>90290590</v>
      </c>
      <c r="I76" s="83">
        <f>+I77</f>
        <v>0</v>
      </c>
      <c r="J76" s="84">
        <f t="shared" ref="J76:J81" si="18">+H76-I76</f>
        <v>90290590</v>
      </c>
      <c r="K76" s="104">
        <v>0</v>
      </c>
      <c r="L76" s="88">
        <v>0</v>
      </c>
      <c r="M76" s="89">
        <v>0</v>
      </c>
      <c r="N76" s="90">
        <f>+B76+E76+J76</f>
        <v>324862606</v>
      </c>
      <c r="O76" s="82">
        <f>+O77</f>
        <v>0</v>
      </c>
      <c r="P76" s="92">
        <f>+N76-O76</f>
        <v>324862606</v>
      </c>
    </row>
    <row r="77" spans="1:18" x14ac:dyDescent="0.2">
      <c r="A77" s="47" t="s">
        <v>81</v>
      </c>
      <c r="B77" s="107">
        <v>0</v>
      </c>
      <c r="C77" s="55">
        <f>+C78+C79+C80</f>
        <v>0</v>
      </c>
      <c r="D77" s="105">
        <f t="shared" si="9"/>
        <v>0</v>
      </c>
      <c r="E77" s="107">
        <f>SUM(E78:E80)</f>
        <v>233272016</v>
      </c>
      <c r="F77" s="43">
        <v>0</v>
      </c>
      <c r="G77" s="107">
        <f>SUM(G78:G80)</f>
        <v>233272016</v>
      </c>
      <c r="H77" s="53">
        <f>SUM(H78:H81)</f>
        <v>90290590</v>
      </c>
      <c r="I77" s="43">
        <v>0</v>
      </c>
      <c r="J77" s="105">
        <f t="shared" si="18"/>
        <v>90290590</v>
      </c>
      <c r="K77" s="42">
        <v>0</v>
      </c>
      <c r="L77" s="43">
        <v>0</v>
      </c>
      <c r="M77" s="44">
        <v>0</v>
      </c>
      <c r="N77" s="96">
        <f>+B77+E77+J77</f>
        <v>323562606</v>
      </c>
      <c r="O77" s="51">
        <f>SUM(O78:O81)</f>
        <v>0</v>
      </c>
      <c r="P77" s="97">
        <f t="shared" si="11"/>
        <v>323562606</v>
      </c>
    </row>
    <row r="78" spans="1:18" x14ac:dyDescent="0.2">
      <c r="A78" s="47" t="s">
        <v>82</v>
      </c>
      <c r="B78" s="107">
        <v>0</v>
      </c>
      <c r="C78" s="54" t="s">
        <v>16</v>
      </c>
      <c r="D78" s="105">
        <f t="shared" si="9"/>
        <v>0</v>
      </c>
      <c r="E78" s="107">
        <v>22771500</v>
      </c>
      <c r="F78" s="43">
        <v>0</v>
      </c>
      <c r="G78" s="107">
        <v>22771500</v>
      </c>
      <c r="H78" s="53">
        <v>0</v>
      </c>
      <c r="I78" s="43">
        <v>0</v>
      </c>
      <c r="J78" s="105">
        <f t="shared" si="18"/>
        <v>0</v>
      </c>
      <c r="K78" s="42">
        <v>0</v>
      </c>
      <c r="L78" s="43">
        <v>0</v>
      </c>
      <c r="M78" s="44">
        <v>0</v>
      </c>
      <c r="N78" s="96">
        <f t="shared" si="15"/>
        <v>22771500</v>
      </c>
      <c r="O78" s="54" t="s">
        <v>16</v>
      </c>
      <c r="P78" s="97">
        <f t="shared" si="11"/>
        <v>22771500</v>
      </c>
    </row>
    <row r="79" spans="1:18" x14ac:dyDescent="0.2">
      <c r="A79" s="47" t="s">
        <v>83</v>
      </c>
      <c r="B79" s="107">
        <v>0</v>
      </c>
      <c r="C79" s="55">
        <v>0</v>
      </c>
      <c r="D79" s="105">
        <f t="shared" si="9"/>
        <v>0</v>
      </c>
      <c r="E79" s="107">
        <v>63768806</v>
      </c>
      <c r="F79" s="43">
        <v>0</v>
      </c>
      <c r="G79" s="107">
        <v>63768806</v>
      </c>
      <c r="H79" s="53">
        <v>0</v>
      </c>
      <c r="I79" s="43">
        <v>0</v>
      </c>
      <c r="J79" s="105">
        <f t="shared" si="18"/>
        <v>0</v>
      </c>
      <c r="K79" s="42">
        <v>0</v>
      </c>
      <c r="L79" s="43">
        <v>0</v>
      </c>
      <c r="M79" s="44">
        <v>0</v>
      </c>
      <c r="N79" s="96">
        <f t="shared" si="15"/>
        <v>63768806</v>
      </c>
      <c r="O79" s="51">
        <f>+C79+F79+L79</f>
        <v>0</v>
      </c>
      <c r="P79" s="97">
        <f t="shared" si="11"/>
        <v>63768806</v>
      </c>
    </row>
    <row r="80" spans="1:18" x14ac:dyDescent="0.2">
      <c r="A80" s="47" t="s">
        <v>84</v>
      </c>
      <c r="B80" s="107">
        <f>237022300-H80-E80</f>
        <v>0</v>
      </c>
      <c r="C80" s="55">
        <v>0</v>
      </c>
      <c r="D80" s="105">
        <f t="shared" si="9"/>
        <v>0</v>
      </c>
      <c r="E80" s="107">
        <f>237022300-K80-H80</f>
        <v>146731710</v>
      </c>
      <c r="F80" s="43">
        <v>0</v>
      </c>
      <c r="G80" s="107">
        <f>237022300-M80-J80</f>
        <v>146731710</v>
      </c>
      <c r="H80" s="53">
        <v>90290590</v>
      </c>
      <c r="I80" s="43">
        <v>0</v>
      </c>
      <c r="J80" s="105">
        <f t="shared" si="18"/>
        <v>90290590</v>
      </c>
      <c r="K80" s="42">
        <v>0</v>
      </c>
      <c r="L80" s="43">
        <v>0</v>
      </c>
      <c r="M80" s="44">
        <v>0</v>
      </c>
      <c r="N80" s="96">
        <f>+B80+E80+H80</f>
        <v>237022300</v>
      </c>
      <c r="O80" s="51">
        <f>+C80+F80+L80</f>
        <v>0</v>
      </c>
      <c r="P80" s="97">
        <f t="shared" si="11"/>
        <v>237022300</v>
      </c>
    </row>
    <row r="81" spans="1:16" x14ac:dyDescent="0.2">
      <c r="A81" s="47" t="s">
        <v>85</v>
      </c>
      <c r="B81" s="107">
        <v>0</v>
      </c>
      <c r="C81" s="49">
        <v>0</v>
      </c>
      <c r="D81" s="105">
        <f t="shared" si="9"/>
        <v>0</v>
      </c>
      <c r="E81" s="107">
        <v>1300000</v>
      </c>
      <c r="F81" s="43">
        <v>0</v>
      </c>
      <c r="G81" s="107">
        <v>1300000</v>
      </c>
      <c r="H81" s="53">
        <v>0</v>
      </c>
      <c r="I81" s="43">
        <v>0</v>
      </c>
      <c r="J81" s="105">
        <f t="shared" si="18"/>
        <v>0</v>
      </c>
      <c r="K81" s="42">
        <v>0</v>
      </c>
      <c r="L81" s="43">
        <v>0</v>
      </c>
      <c r="M81" s="44">
        <v>0</v>
      </c>
      <c r="N81" s="96">
        <f t="shared" si="15"/>
        <v>1300000</v>
      </c>
      <c r="O81" s="54" t="s">
        <v>16</v>
      </c>
      <c r="P81" s="97">
        <f t="shared" si="11"/>
        <v>1300000</v>
      </c>
    </row>
    <row r="82" spans="1:16" s="14" customFormat="1" x14ac:dyDescent="0.2">
      <c r="A82" s="57" t="s">
        <v>86</v>
      </c>
      <c r="B82" s="82">
        <f>+B84+B88+B94+B102+B103+B105+B106+B107+B108+B111+B112+B115+B117+B100+B83+B116</f>
        <v>341393880</v>
      </c>
      <c r="C82" s="83">
        <f>+C84+C88+C94+C102+C103+C105+C106+C107+C108+C111+C112+C115+C117</f>
        <v>0</v>
      </c>
      <c r="D82" s="84">
        <f t="shared" si="9"/>
        <v>341393880</v>
      </c>
      <c r="E82" s="82">
        <f>+E84+E88+E94+E102+E103+E105+E106+E107+E108+E111+E112+E115+E117+E100+E83+E116</f>
        <v>1383786</v>
      </c>
      <c r="F82" s="83">
        <f>+F84+F88+F94+F102+F103+F105+F106+F107+F108+F111+F112+F115+F117</f>
        <v>0</v>
      </c>
      <c r="G82" s="84">
        <f>+E82-F82</f>
        <v>1383786</v>
      </c>
      <c r="H82" s="82">
        <f>+H84+H88+H94+H102+H103+H105+H106+H107+H108+H111+H112+H115+H117+H100+H83+H116</f>
        <v>209709410</v>
      </c>
      <c r="I82" s="83">
        <f>+I84+I88+I94+I102+I103+I105+I106+I107+I108+I111+I112+I115+I117</f>
        <v>0</v>
      </c>
      <c r="J82" s="84">
        <f>+H82-I82</f>
        <v>209709410</v>
      </c>
      <c r="K82" s="104">
        <v>0</v>
      </c>
      <c r="L82" s="88">
        <v>0</v>
      </c>
      <c r="M82" s="89">
        <v>0</v>
      </c>
      <c r="N82" s="90">
        <f>+B82+E82+K82+J82</f>
        <v>552487076</v>
      </c>
      <c r="O82" s="82">
        <f>+O103</f>
        <v>0</v>
      </c>
      <c r="P82" s="92">
        <f>+N82-O82</f>
        <v>552487076</v>
      </c>
    </row>
    <row r="83" spans="1:16" s="14" customFormat="1" x14ac:dyDescent="0.2">
      <c r="A83" s="47" t="s">
        <v>87</v>
      </c>
      <c r="B83" s="93">
        <v>5089730</v>
      </c>
      <c r="C83" s="83">
        <f>+C85+C89+C95+C103+C104+C106+C107+C108+C109+C112+C113+C117+C118</f>
        <v>0</v>
      </c>
      <c r="D83" s="105">
        <f>+B83-C83</f>
        <v>5089730</v>
      </c>
      <c r="E83" s="42">
        <v>0</v>
      </c>
      <c r="F83" s="88">
        <v>0</v>
      </c>
      <c r="G83" s="100">
        <v>0</v>
      </c>
      <c r="H83" s="104">
        <v>0</v>
      </c>
      <c r="I83" s="88">
        <v>0</v>
      </c>
      <c r="J83" s="89">
        <v>0</v>
      </c>
      <c r="K83" s="104">
        <v>0</v>
      </c>
      <c r="L83" s="88">
        <v>0</v>
      </c>
      <c r="M83" s="89">
        <v>0</v>
      </c>
      <c r="N83" s="90">
        <f>+B83+E83+K83</f>
        <v>5089730</v>
      </c>
      <c r="O83" s="82">
        <f>+O104</f>
        <v>0</v>
      </c>
      <c r="P83" s="97">
        <f>+N83-O83</f>
        <v>5089730</v>
      </c>
    </row>
    <row r="84" spans="1:16" x14ac:dyDescent="0.2">
      <c r="A84" s="47" t="s">
        <v>88</v>
      </c>
      <c r="B84" s="107">
        <f>SUM(B85:B87)</f>
        <v>23721814</v>
      </c>
      <c r="C84" s="54" t="s">
        <v>16</v>
      </c>
      <c r="D84" s="105">
        <f t="shared" si="9"/>
        <v>23721814</v>
      </c>
      <c r="E84" s="42">
        <v>0</v>
      </c>
      <c r="F84" s="43">
        <v>0</v>
      </c>
      <c r="G84" s="100">
        <v>0</v>
      </c>
      <c r="H84" s="42">
        <v>0</v>
      </c>
      <c r="I84" s="43">
        <v>0</v>
      </c>
      <c r="J84" s="44">
        <v>0</v>
      </c>
      <c r="K84" s="42">
        <v>0</v>
      </c>
      <c r="L84" s="43">
        <v>0</v>
      </c>
      <c r="M84" s="44">
        <v>0</v>
      </c>
      <c r="N84" s="96">
        <f t="shared" ref="N84:N115" si="19">+B84+E84</f>
        <v>23721814</v>
      </c>
      <c r="O84" s="54" t="s">
        <v>16</v>
      </c>
      <c r="P84" s="97">
        <f t="shared" si="11"/>
        <v>23721814</v>
      </c>
    </row>
    <row r="85" spans="1:16" x14ac:dyDescent="0.2">
      <c r="A85" s="47" t="s">
        <v>89</v>
      </c>
      <c r="B85" s="107">
        <v>10455267</v>
      </c>
      <c r="C85" s="54" t="s">
        <v>16</v>
      </c>
      <c r="D85" s="105">
        <f t="shared" si="9"/>
        <v>10455267</v>
      </c>
      <c r="E85" s="42">
        <v>0</v>
      </c>
      <c r="F85" s="43">
        <v>0</v>
      </c>
      <c r="G85" s="100">
        <v>0</v>
      </c>
      <c r="H85" s="42">
        <v>0</v>
      </c>
      <c r="I85" s="43">
        <v>0</v>
      </c>
      <c r="J85" s="44">
        <v>0</v>
      </c>
      <c r="K85" s="42">
        <v>0</v>
      </c>
      <c r="L85" s="43">
        <v>0</v>
      </c>
      <c r="M85" s="44">
        <v>0</v>
      </c>
      <c r="N85" s="96">
        <f t="shared" si="19"/>
        <v>10455267</v>
      </c>
      <c r="O85" s="54" t="s">
        <v>16</v>
      </c>
      <c r="P85" s="97">
        <f t="shared" si="11"/>
        <v>10455267</v>
      </c>
    </row>
    <row r="86" spans="1:16" x14ac:dyDescent="0.2">
      <c r="A86" s="47" t="s">
        <v>90</v>
      </c>
      <c r="B86" s="107">
        <v>5493455</v>
      </c>
      <c r="C86" s="54" t="s">
        <v>16</v>
      </c>
      <c r="D86" s="105">
        <f t="shared" si="9"/>
        <v>5493455</v>
      </c>
      <c r="E86" s="42">
        <v>0</v>
      </c>
      <c r="F86" s="43">
        <v>0</v>
      </c>
      <c r="G86" s="100">
        <v>0</v>
      </c>
      <c r="H86" s="42">
        <v>0</v>
      </c>
      <c r="I86" s="43">
        <v>0</v>
      </c>
      <c r="J86" s="44">
        <v>0</v>
      </c>
      <c r="K86" s="42">
        <v>0</v>
      </c>
      <c r="L86" s="43">
        <v>0</v>
      </c>
      <c r="M86" s="44">
        <v>0</v>
      </c>
      <c r="N86" s="96">
        <f t="shared" si="19"/>
        <v>5493455</v>
      </c>
      <c r="O86" s="54" t="s">
        <v>16</v>
      </c>
      <c r="P86" s="97">
        <f t="shared" si="11"/>
        <v>5493455</v>
      </c>
    </row>
    <row r="87" spans="1:16" x14ac:dyDescent="0.2">
      <c r="A87" s="47" t="s">
        <v>91</v>
      </c>
      <c r="B87" s="107">
        <v>7773092</v>
      </c>
      <c r="C87" s="54" t="s">
        <v>16</v>
      </c>
      <c r="D87" s="105">
        <f t="shared" si="9"/>
        <v>7773092</v>
      </c>
      <c r="E87" s="42">
        <v>0</v>
      </c>
      <c r="F87" s="43">
        <v>0</v>
      </c>
      <c r="G87" s="100">
        <v>0</v>
      </c>
      <c r="H87" s="42">
        <v>0</v>
      </c>
      <c r="I87" s="43">
        <v>0</v>
      </c>
      <c r="J87" s="44">
        <v>0</v>
      </c>
      <c r="K87" s="42">
        <v>0</v>
      </c>
      <c r="L87" s="43">
        <v>0</v>
      </c>
      <c r="M87" s="44">
        <v>0</v>
      </c>
      <c r="N87" s="96">
        <f t="shared" si="19"/>
        <v>7773092</v>
      </c>
      <c r="O87" s="54" t="s">
        <v>16</v>
      </c>
      <c r="P87" s="97">
        <f t="shared" si="11"/>
        <v>7773092</v>
      </c>
    </row>
    <row r="88" spans="1:16" x14ac:dyDescent="0.2">
      <c r="A88" s="47" t="s">
        <v>92</v>
      </c>
      <c r="B88" s="93">
        <f>SUM(B89:B93)</f>
        <v>21356000</v>
      </c>
      <c r="C88" s="54" t="s">
        <v>16</v>
      </c>
      <c r="D88" s="105">
        <f t="shared" si="9"/>
        <v>21356000</v>
      </c>
      <c r="E88" s="42">
        <v>0</v>
      </c>
      <c r="F88" s="43">
        <v>0</v>
      </c>
      <c r="G88" s="100">
        <v>0</v>
      </c>
      <c r="H88" s="42">
        <v>0</v>
      </c>
      <c r="I88" s="43">
        <v>0</v>
      </c>
      <c r="J88" s="44">
        <v>0</v>
      </c>
      <c r="K88" s="42">
        <v>0</v>
      </c>
      <c r="L88" s="43">
        <v>0</v>
      </c>
      <c r="M88" s="44">
        <v>0</v>
      </c>
      <c r="N88" s="96">
        <f t="shared" si="19"/>
        <v>21356000</v>
      </c>
      <c r="O88" s="54" t="s">
        <v>16</v>
      </c>
      <c r="P88" s="97">
        <f t="shared" si="11"/>
        <v>21356000</v>
      </c>
    </row>
    <row r="89" spans="1:16" x14ac:dyDescent="0.2">
      <c r="A89" s="47" t="s">
        <v>93</v>
      </c>
      <c r="B89" s="107">
        <v>1500000</v>
      </c>
      <c r="C89" s="54" t="s">
        <v>16</v>
      </c>
      <c r="D89" s="105">
        <f t="shared" si="9"/>
        <v>1500000</v>
      </c>
      <c r="E89" s="42">
        <v>0</v>
      </c>
      <c r="F89" s="43">
        <v>0</v>
      </c>
      <c r="G89" s="100">
        <v>0</v>
      </c>
      <c r="H89" s="42">
        <v>0</v>
      </c>
      <c r="I89" s="43">
        <v>0</v>
      </c>
      <c r="J89" s="44">
        <v>0</v>
      </c>
      <c r="K89" s="42">
        <v>0</v>
      </c>
      <c r="L89" s="43">
        <v>0</v>
      </c>
      <c r="M89" s="44">
        <v>0</v>
      </c>
      <c r="N89" s="96">
        <f t="shared" si="19"/>
        <v>1500000</v>
      </c>
      <c r="O89" s="54" t="s">
        <v>16</v>
      </c>
      <c r="P89" s="97">
        <f t="shared" si="11"/>
        <v>1500000</v>
      </c>
    </row>
    <row r="90" spans="1:16" x14ac:dyDescent="0.2">
      <c r="A90" s="47" t="s">
        <v>94</v>
      </c>
      <c r="B90" s="107">
        <v>12971000</v>
      </c>
      <c r="C90" s="54" t="s">
        <v>16</v>
      </c>
      <c r="D90" s="105">
        <f>+B90-C90</f>
        <v>12971000</v>
      </c>
      <c r="E90" s="42">
        <v>0</v>
      </c>
      <c r="F90" s="43">
        <v>0</v>
      </c>
      <c r="G90" s="100">
        <v>0</v>
      </c>
      <c r="H90" s="42">
        <v>0</v>
      </c>
      <c r="I90" s="43">
        <v>0</v>
      </c>
      <c r="J90" s="44">
        <v>0</v>
      </c>
      <c r="K90" s="42">
        <v>0</v>
      </c>
      <c r="L90" s="43">
        <v>0</v>
      </c>
      <c r="M90" s="44">
        <v>0</v>
      </c>
      <c r="N90" s="96">
        <f>+B90+E90</f>
        <v>12971000</v>
      </c>
      <c r="O90" s="54" t="s">
        <v>16</v>
      </c>
      <c r="P90" s="97">
        <f>+N90-O90</f>
        <v>12971000</v>
      </c>
    </row>
    <row r="91" spans="1:16" x14ac:dyDescent="0.2">
      <c r="A91" s="47" t="s">
        <v>95</v>
      </c>
      <c r="B91" s="107">
        <v>5860000</v>
      </c>
      <c r="C91" s="54" t="s">
        <v>16</v>
      </c>
      <c r="D91" s="105">
        <f>+B91-C91</f>
        <v>5860000</v>
      </c>
      <c r="E91" s="42">
        <v>0</v>
      </c>
      <c r="F91" s="43">
        <v>0</v>
      </c>
      <c r="G91" s="100">
        <v>0</v>
      </c>
      <c r="H91" s="42">
        <v>0</v>
      </c>
      <c r="I91" s="43">
        <v>0</v>
      </c>
      <c r="J91" s="44">
        <v>0</v>
      </c>
      <c r="K91" s="42">
        <v>0</v>
      </c>
      <c r="L91" s="43">
        <v>0</v>
      </c>
      <c r="M91" s="44">
        <v>0</v>
      </c>
      <c r="N91" s="96">
        <f>+B91+E91</f>
        <v>5860000</v>
      </c>
      <c r="O91" s="54" t="s">
        <v>16</v>
      </c>
      <c r="P91" s="97">
        <f>+N91-O91</f>
        <v>5860000</v>
      </c>
    </row>
    <row r="92" spans="1:16" x14ac:dyDescent="0.2">
      <c r="A92" s="47" t="s">
        <v>96</v>
      </c>
      <c r="B92" s="107">
        <v>575000</v>
      </c>
      <c r="C92" s="54" t="s">
        <v>16</v>
      </c>
      <c r="D92" s="105">
        <f>+B92-C92</f>
        <v>575000</v>
      </c>
      <c r="E92" s="42">
        <v>0</v>
      </c>
      <c r="F92" s="43">
        <v>0</v>
      </c>
      <c r="G92" s="100">
        <v>0</v>
      </c>
      <c r="H92" s="42">
        <v>0</v>
      </c>
      <c r="I92" s="43">
        <v>0</v>
      </c>
      <c r="J92" s="44">
        <v>0</v>
      </c>
      <c r="K92" s="42">
        <v>0</v>
      </c>
      <c r="L92" s="43">
        <v>0</v>
      </c>
      <c r="M92" s="44">
        <v>0</v>
      </c>
      <c r="N92" s="96">
        <f>+B92+E92</f>
        <v>575000</v>
      </c>
      <c r="O92" s="54" t="s">
        <v>16</v>
      </c>
      <c r="P92" s="97">
        <f>+N92-O92</f>
        <v>575000</v>
      </c>
    </row>
    <row r="93" spans="1:16" x14ac:dyDescent="0.2">
      <c r="A93" s="47" t="s">
        <v>97</v>
      </c>
      <c r="B93" s="107">
        <v>450000</v>
      </c>
      <c r="C93" s="54" t="s">
        <v>16</v>
      </c>
      <c r="D93" s="105">
        <f>+B93-C93</f>
        <v>450000</v>
      </c>
      <c r="E93" s="42">
        <v>0</v>
      </c>
      <c r="F93" s="43">
        <v>0</v>
      </c>
      <c r="G93" s="100">
        <v>0</v>
      </c>
      <c r="H93" s="42">
        <v>0</v>
      </c>
      <c r="I93" s="43">
        <v>0</v>
      </c>
      <c r="J93" s="44">
        <v>0</v>
      </c>
      <c r="K93" s="42">
        <v>0</v>
      </c>
      <c r="L93" s="43">
        <v>0</v>
      </c>
      <c r="M93" s="44">
        <v>0</v>
      </c>
      <c r="N93" s="96">
        <f>+B93+E93</f>
        <v>450000</v>
      </c>
      <c r="O93" s="54" t="s">
        <v>16</v>
      </c>
      <c r="P93" s="97">
        <f>+N93-O93</f>
        <v>450000</v>
      </c>
    </row>
    <row r="94" spans="1:16" x14ac:dyDescent="0.2">
      <c r="A94" s="47" t="s">
        <v>98</v>
      </c>
      <c r="B94" s="93">
        <f>SUM(B95:B99)</f>
        <v>81104158</v>
      </c>
      <c r="C94" s="51">
        <f>SUM(C95:C99)</f>
        <v>0</v>
      </c>
      <c r="D94" s="105">
        <f t="shared" si="9"/>
        <v>81104158</v>
      </c>
      <c r="E94" s="42">
        <v>0</v>
      </c>
      <c r="F94" s="43">
        <v>0</v>
      </c>
      <c r="G94" s="100">
        <v>0</v>
      </c>
      <c r="H94" s="42">
        <v>0</v>
      </c>
      <c r="I94" s="43">
        <v>0</v>
      </c>
      <c r="J94" s="44">
        <v>0</v>
      </c>
      <c r="K94" s="42">
        <v>0</v>
      </c>
      <c r="L94" s="43">
        <v>0</v>
      </c>
      <c r="M94" s="44">
        <v>0</v>
      </c>
      <c r="N94" s="96">
        <f t="shared" si="19"/>
        <v>81104158</v>
      </c>
      <c r="O94" s="54" t="s">
        <v>16</v>
      </c>
      <c r="P94" s="97">
        <f t="shared" si="11"/>
        <v>81104158</v>
      </c>
    </row>
    <row r="95" spans="1:16" x14ac:dyDescent="0.2">
      <c r="A95" s="47" t="s">
        <v>99</v>
      </c>
      <c r="B95" s="107">
        <v>69264320</v>
      </c>
      <c r="C95" s="54" t="s">
        <v>16</v>
      </c>
      <c r="D95" s="105">
        <f t="shared" si="9"/>
        <v>69264320</v>
      </c>
      <c r="E95" s="42">
        <v>0</v>
      </c>
      <c r="F95" s="43">
        <v>0</v>
      </c>
      <c r="G95" s="100">
        <v>0</v>
      </c>
      <c r="H95" s="42">
        <v>0</v>
      </c>
      <c r="I95" s="43">
        <v>0</v>
      </c>
      <c r="J95" s="44">
        <v>0</v>
      </c>
      <c r="K95" s="42">
        <v>0</v>
      </c>
      <c r="L95" s="43">
        <v>0</v>
      </c>
      <c r="M95" s="44">
        <v>0</v>
      </c>
      <c r="N95" s="96">
        <f t="shared" si="19"/>
        <v>69264320</v>
      </c>
      <c r="O95" s="54" t="s">
        <v>16</v>
      </c>
      <c r="P95" s="97">
        <f t="shared" si="11"/>
        <v>69264320</v>
      </c>
    </row>
    <row r="96" spans="1:16" x14ac:dyDescent="0.2">
      <c r="A96" s="47" t="s">
        <v>100</v>
      </c>
      <c r="B96" s="107">
        <v>1295873</v>
      </c>
      <c r="C96" s="54" t="s">
        <v>16</v>
      </c>
      <c r="D96" s="105">
        <f t="shared" si="9"/>
        <v>1295873</v>
      </c>
      <c r="E96" s="42">
        <v>0</v>
      </c>
      <c r="F96" s="43">
        <v>0</v>
      </c>
      <c r="G96" s="100">
        <v>0</v>
      </c>
      <c r="H96" s="42">
        <v>0</v>
      </c>
      <c r="I96" s="43">
        <v>0</v>
      </c>
      <c r="J96" s="44">
        <v>0</v>
      </c>
      <c r="K96" s="42">
        <v>0</v>
      </c>
      <c r="L96" s="43">
        <v>0</v>
      </c>
      <c r="M96" s="44">
        <v>0</v>
      </c>
      <c r="N96" s="96">
        <f t="shared" si="19"/>
        <v>1295873</v>
      </c>
      <c r="O96" s="54" t="s">
        <v>16</v>
      </c>
      <c r="P96" s="97">
        <f t="shared" si="11"/>
        <v>1295873</v>
      </c>
    </row>
    <row r="97" spans="1:16" x14ac:dyDescent="0.2">
      <c r="A97" s="47" t="s">
        <v>101</v>
      </c>
      <c r="B97" s="107">
        <v>1307677</v>
      </c>
      <c r="C97" s="54" t="s">
        <v>16</v>
      </c>
      <c r="D97" s="105">
        <f t="shared" si="9"/>
        <v>1307677</v>
      </c>
      <c r="E97" s="42">
        <v>0</v>
      </c>
      <c r="F97" s="43">
        <v>0</v>
      </c>
      <c r="G97" s="100">
        <v>0</v>
      </c>
      <c r="H97" s="42">
        <v>0</v>
      </c>
      <c r="I97" s="43">
        <v>0</v>
      </c>
      <c r="J97" s="44">
        <v>0</v>
      </c>
      <c r="K97" s="42">
        <v>0</v>
      </c>
      <c r="L97" s="43">
        <v>0</v>
      </c>
      <c r="M97" s="44">
        <v>0</v>
      </c>
      <c r="N97" s="96">
        <f t="shared" si="19"/>
        <v>1307677</v>
      </c>
      <c r="O97" s="54" t="s">
        <v>16</v>
      </c>
      <c r="P97" s="97">
        <f t="shared" si="11"/>
        <v>1307677</v>
      </c>
    </row>
    <row r="98" spans="1:16" x14ac:dyDescent="0.2">
      <c r="A98" s="47" t="s">
        <v>102</v>
      </c>
      <c r="B98" s="107">
        <v>2981873</v>
      </c>
      <c r="C98" s="54" t="s">
        <v>16</v>
      </c>
      <c r="D98" s="105">
        <f t="shared" si="9"/>
        <v>2981873</v>
      </c>
      <c r="E98" s="42">
        <v>0</v>
      </c>
      <c r="F98" s="43">
        <v>0</v>
      </c>
      <c r="G98" s="100">
        <v>0</v>
      </c>
      <c r="H98" s="42">
        <v>0</v>
      </c>
      <c r="I98" s="43">
        <v>0</v>
      </c>
      <c r="J98" s="44">
        <v>0</v>
      </c>
      <c r="K98" s="42">
        <v>0</v>
      </c>
      <c r="L98" s="43">
        <v>0</v>
      </c>
      <c r="M98" s="44">
        <v>0</v>
      </c>
      <c r="N98" s="96">
        <f t="shared" si="19"/>
        <v>2981873</v>
      </c>
      <c r="O98" s="54" t="s">
        <v>16</v>
      </c>
      <c r="P98" s="97">
        <f t="shared" si="11"/>
        <v>2981873</v>
      </c>
    </row>
    <row r="99" spans="1:16" x14ac:dyDescent="0.2">
      <c r="A99" s="47" t="s">
        <v>103</v>
      </c>
      <c r="B99" s="107">
        <v>6254415</v>
      </c>
      <c r="C99" s="54" t="s">
        <v>16</v>
      </c>
      <c r="D99" s="105">
        <f t="shared" si="9"/>
        <v>6254415</v>
      </c>
      <c r="E99" s="42">
        <v>0</v>
      </c>
      <c r="F99" s="43">
        <v>0</v>
      </c>
      <c r="G99" s="100">
        <v>0</v>
      </c>
      <c r="H99" s="42">
        <v>0</v>
      </c>
      <c r="I99" s="43">
        <v>0</v>
      </c>
      <c r="J99" s="44">
        <v>0</v>
      </c>
      <c r="K99" s="42">
        <v>0</v>
      </c>
      <c r="L99" s="43">
        <v>0</v>
      </c>
      <c r="M99" s="44">
        <v>0</v>
      </c>
      <c r="N99" s="96">
        <f t="shared" si="19"/>
        <v>6254415</v>
      </c>
      <c r="O99" s="54" t="s">
        <v>16</v>
      </c>
      <c r="P99" s="97">
        <f t="shared" si="11"/>
        <v>6254415</v>
      </c>
    </row>
    <row r="100" spans="1:16" x14ac:dyDescent="0.2">
      <c r="A100" s="47" t="s">
        <v>104</v>
      </c>
      <c r="B100" s="107">
        <f>+B101</f>
        <v>100000</v>
      </c>
      <c r="C100" s="54" t="s">
        <v>16</v>
      </c>
      <c r="D100" s="105">
        <f>+B100-C100</f>
        <v>100000</v>
      </c>
      <c r="E100" s="42">
        <v>0</v>
      </c>
      <c r="F100" s="43">
        <v>0</v>
      </c>
      <c r="G100" s="100">
        <v>0</v>
      </c>
      <c r="H100" s="42">
        <v>0</v>
      </c>
      <c r="I100" s="43">
        <v>0</v>
      </c>
      <c r="J100" s="44">
        <v>0</v>
      </c>
      <c r="K100" s="42">
        <v>0</v>
      </c>
      <c r="L100" s="43">
        <v>0</v>
      </c>
      <c r="M100" s="44">
        <v>0</v>
      </c>
      <c r="N100" s="96">
        <f>+B100+E100</f>
        <v>100000</v>
      </c>
      <c r="O100" s="54" t="s">
        <v>16</v>
      </c>
      <c r="P100" s="97">
        <f>+N100-O100</f>
        <v>100000</v>
      </c>
    </row>
    <row r="101" spans="1:16" x14ac:dyDescent="0.2">
      <c r="A101" s="47" t="s">
        <v>105</v>
      </c>
      <c r="B101" s="107">
        <v>100000</v>
      </c>
      <c r="C101" s="54" t="s">
        <v>16</v>
      </c>
      <c r="D101" s="105">
        <f>+B101-C101</f>
        <v>100000</v>
      </c>
      <c r="E101" s="42">
        <v>0</v>
      </c>
      <c r="F101" s="43">
        <v>0</v>
      </c>
      <c r="G101" s="100">
        <v>0</v>
      </c>
      <c r="H101" s="42">
        <v>0</v>
      </c>
      <c r="I101" s="43">
        <v>0</v>
      </c>
      <c r="J101" s="44">
        <v>0</v>
      </c>
      <c r="K101" s="42">
        <v>0</v>
      </c>
      <c r="L101" s="43">
        <v>0</v>
      </c>
      <c r="M101" s="44">
        <v>0</v>
      </c>
      <c r="N101" s="96">
        <f>+B101+E101</f>
        <v>100000</v>
      </c>
      <c r="O101" s="54" t="s">
        <v>16</v>
      </c>
      <c r="P101" s="97">
        <f>+N101-O101</f>
        <v>100000</v>
      </c>
    </row>
    <row r="102" spans="1:16" x14ac:dyDescent="0.2">
      <c r="A102" s="47" t="s">
        <v>106</v>
      </c>
      <c r="B102" s="107">
        <f>39080967-E102</f>
        <v>37697181</v>
      </c>
      <c r="C102" s="54" t="s">
        <v>16</v>
      </c>
      <c r="D102" s="105">
        <f t="shared" si="9"/>
        <v>37697181</v>
      </c>
      <c r="E102" s="53">
        <v>1383786</v>
      </c>
      <c r="F102" s="43">
        <v>0</v>
      </c>
      <c r="G102" s="95">
        <f>+E102-F102</f>
        <v>1383786</v>
      </c>
      <c r="H102" s="42">
        <v>0</v>
      </c>
      <c r="I102" s="43">
        <v>0</v>
      </c>
      <c r="J102" s="44">
        <v>0</v>
      </c>
      <c r="K102" s="42">
        <v>0</v>
      </c>
      <c r="L102" s="43">
        <v>0</v>
      </c>
      <c r="M102" s="44">
        <v>0</v>
      </c>
      <c r="N102" s="96">
        <f>+B102+E102</f>
        <v>39080967</v>
      </c>
      <c r="O102" s="51">
        <f>+C102+F102+L102</f>
        <v>0</v>
      </c>
      <c r="P102" s="97">
        <f>+N102-O102</f>
        <v>39080967</v>
      </c>
    </row>
    <row r="103" spans="1:16" x14ac:dyDescent="0.2">
      <c r="A103" s="47" t="s">
        <v>107</v>
      </c>
      <c r="B103" s="107">
        <f>SUM(B104:B104)</f>
        <v>0</v>
      </c>
      <c r="C103" s="55">
        <f>SUM(C104:C104)</f>
        <v>0</v>
      </c>
      <c r="D103" s="105">
        <f t="shared" si="9"/>
        <v>0</v>
      </c>
      <c r="E103" s="42">
        <v>0</v>
      </c>
      <c r="F103" s="43">
        <v>0</v>
      </c>
      <c r="G103" s="100">
        <v>0</v>
      </c>
      <c r="H103" s="110">
        <f>+H104</f>
        <v>209709410</v>
      </c>
      <c r="I103" s="43">
        <v>0</v>
      </c>
      <c r="J103" s="112">
        <f>+J104</f>
        <v>209709410</v>
      </c>
      <c r="K103" s="42">
        <v>0</v>
      </c>
      <c r="L103" s="43">
        <v>0</v>
      </c>
      <c r="M103" s="44">
        <v>0</v>
      </c>
      <c r="N103" s="96">
        <f>+B103+E103+H103</f>
        <v>209709410</v>
      </c>
      <c r="O103" s="93">
        <f>+C103+F103</f>
        <v>0</v>
      </c>
      <c r="P103" s="97">
        <f t="shared" si="11"/>
        <v>209709410</v>
      </c>
    </row>
    <row r="104" spans="1:16" x14ac:dyDescent="0.2">
      <c r="A104" s="47" t="s">
        <v>108</v>
      </c>
      <c r="B104" s="107">
        <v>0</v>
      </c>
      <c r="C104" s="55">
        <v>0</v>
      </c>
      <c r="D104" s="105">
        <f t="shared" si="9"/>
        <v>0</v>
      </c>
      <c r="E104" s="42">
        <v>0</v>
      </c>
      <c r="F104" s="43">
        <v>0</v>
      </c>
      <c r="G104" s="100">
        <v>0</v>
      </c>
      <c r="H104" s="53">
        <v>209709410</v>
      </c>
      <c r="I104" s="43">
        <v>0</v>
      </c>
      <c r="J104" s="112">
        <f>+H104-I104</f>
        <v>209709410</v>
      </c>
      <c r="K104" s="42">
        <v>0</v>
      </c>
      <c r="L104" s="43">
        <v>0</v>
      </c>
      <c r="M104" s="44">
        <v>0</v>
      </c>
      <c r="N104" s="96">
        <f>+B104+E104+H104</f>
        <v>209709410</v>
      </c>
      <c r="O104" s="51">
        <f>+C104+F104+L104</f>
        <v>0</v>
      </c>
      <c r="P104" s="97">
        <f t="shared" si="11"/>
        <v>209709410</v>
      </c>
    </row>
    <row r="105" spans="1:16" x14ac:dyDescent="0.2">
      <c r="A105" s="47" t="s">
        <v>109</v>
      </c>
      <c r="B105" s="107">
        <v>61502400</v>
      </c>
      <c r="C105" s="54" t="s">
        <v>16</v>
      </c>
      <c r="D105" s="105">
        <f t="shared" si="9"/>
        <v>61502400</v>
      </c>
      <c r="E105" s="42">
        <v>0</v>
      </c>
      <c r="F105" s="43">
        <v>0</v>
      </c>
      <c r="G105" s="100">
        <v>0</v>
      </c>
      <c r="H105" s="42">
        <v>0</v>
      </c>
      <c r="I105" s="43">
        <v>0</v>
      </c>
      <c r="J105" s="44">
        <v>0</v>
      </c>
      <c r="K105" s="42">
        <v>0</v>
      </c>
      <c r="L105" s="43">
        <v>0</v>
      </c>
      <c r="M105" s="44">
        <v>0</v>
      </c>
      <c r="N105" s="96">
        <f t="shared" si="19"/>
        <v>61502400</v>
      </c>
      <c r="O105" s="54" t="s">
        <v>16</v>
      </c>
      <c r="P105" s="97">
        <f t="shared" si="11"/>
        <v>61502400</v>
      </c>
    </row>
    <row r="106" spans="1:16" x14ac:dyDescent="0.2">
      <c r="A106" s="47" t="s">
        <v>110</v>
      </c>
      <c r="B106" s="107">
        <v>1232280</v>
      </c>
      <c r="C106" s="54" t="s">
        <v>16</v>
      </c>
      <c r="D106" s="105">
        <f t="shared" si="9"/>
        <v>1232280</v>
      </c>
      <c r="E106" s="42">
        <v>0</v>
      </c>
      <c r="F106" s="43">
        <v>0</v>
      </c>
      <c r="G106" s="100">
        <v>0</v>
      </c>
      <c r="H106" s="42">
        <v>0</v>
      </c>
      <c r="I106" s="43">
        <v>0</v>
      </c>
      <c r="J106" s="44">
        <v>0</v>
      </c>
      <c r="K106" s="42">
        <v>0</v>
      </c>
      <c r="L106" s="43">
        <v>0</v>
      </c>
      <c r="M106" s="44">
        <v>0</v>
      </c>
      <c r="N106" s="96">
        <f t="shared" si="19"/>
        <v>1232280</v>
      </c>
      <c r="O106" s="54" t="s">
        <v>16</v>
      </c>
      <c r="P106" s="97">
        <f t="shared" si="11"/>
        <v>1232280</v>
      </c>
    </row>
    <row r="107" spans="1:16" x14ac:dyDescent="0.2">
      <c r="A107" s="47" t="s">
        <v>111</v>
      </c>
      <c r="B107" s="107">
        <v>70000</v>
      </c>
      <c r="C107" s="54" t="s">
        <v>16</v>
      </c>
      <c r="D107" s="105">
        <f t="shared" si="9"/>
        <v>70000</v>
      </c>
      <c r="E107" s="42">
        <v>0</v>
      </c>
      <c r="F107" s="43">
        <v>0</v>
      </c>
      <c r="G107" s="100">
        <v>0</v>
      </c>
      <c r="H107" s="42">
        <v>0</v>
      </c>
      <c r="I107" s="43">
        <v>0</v>
      </c>
      <c r="J107" s="44">
        <v>0</v>
      </c>
      <c r="K107" s="42">
        <v>0</v>
      </c>
      <c r="L107" s="43">
        <v>0</v>
      </c>
      <c r="M107" s="44">
        <v>0</v>
      </c>
      <c r="N107" s="96">
        <f t="shared" si="19"/>
        <v>70000</v>
      </c>
      <c r="O107" s="54" t="s">
        <v>16</v>
      </c>
      <c r="P107" s="97">
        <f t="shared" si="11"/>
        <v>70000</v>
      </c>
    </row>
    <row r="108" spans="1:16" x14ac:dyDescent="0.2">
      <c r="A108" s="47" t="s">
        <v>112</v>
      </c>
      <c r="B108" s="107">
        <f>SUM(B109:B110)</f>
        <v>20622461</v>
      </c>
      <c r="C108" s="54" t="s">
        <v>16</v>
      </c>
      <c r="D108" s="105">
        <f t="shared" si="9"/>
        <v>20622461</v>
      </c>
      <c r="E108" s="42">
        <v>0</v>
      </c>
      <c r="F108" s="43">
        <v>0</v>
      </c>
      <c r="G108" s="100">
        <v>0</v>
      </c>
      <c r="H108" s="42">
        <v>0</v>
      </c>
      <c r="I108" s="43">
        <v>0</v>
      </c>
      <c r="J108" s="44">
        <v>0</v>
      </c>
      <c r="K108" s="42">
        <v>0</v>
      </c>
      <c r="L108" s="43">
        <v>0</v>
      </c>
      <c r="M108" s="44">
        <v>0</v>
      </c>
      <c r="N108" s="96">
        <f t="shared" si="19"/>
        <v>20622461</v>
      </c>
      <c r="O108" s="54" t="s">
        <v>16</v>
      </c>
      <c r="P108" s="97">
        <f t="shared" si="11"/>
        <v>20622461</v>
      </c>
    </row>
    <row r="109" spans="1:16" x14ac:dyDescent="0.2">
      <c r="A109" s="47" t="s">
        <v>113</v>
      </c>
      <c r="B109" s="107">
        <v>13474124</v>
      </c>
      <c r="C109" s="54" t="s">
        <v>16</v>
      </c>
      <c r="D109" s="105">
        <f t="shared" si="9"/>
        <v>13474124</v>
      </c>
      <c r="E109" s="42">
        <v>0</v>
      </c>
      <c r="F109" s="43">
        <v>0</v>
      </c>
      <c r="G109" s="100">
        <v>0</v>
      </c>
      <c r="H109" s="42">
        <v>0</v>
      </c>
      <c r="I109" s="43">
        <v>0</v>
      </c>
      <c r="J109" s="44">
        <v>0</v>
      </c>
      <c r="K109" s="42">
        <v>0</v>
      </c>
      <c r="L109" s="43">
        <v>0</v>
      </c>
      <c r="M109" s="44">
        <v>0</v>
      </c>
      <c r="N109" s="96">
        <f t="shared" si="19"/>
        <v>13474124</v>
      </c>
      <c r="O109" s="54" t="s">
        <v>16</v>
      </c>
      <c r="P109" s="97">
        <f t="shared" si="11"/>
        <v>13474124</v>
      </c>
    </row>
    <row r="110" spans="1:16" x14ac:dyDescent="0.2">
      <c r="A110" s="47" t="s">
        <v>114</v>
      </c>
      <c r="B110" s="107">
        <v>7148337</v>
      </c>
      <c r="C110" s="54" t="s">
        <v>16</v>
      </c>
      <c r="D110" s="105">
        <f t="shared" ref="D110:D147" si="20">+B110-C110</f>
        <v>7148337</v>
      </c>
      <c r="E110" s="42">
        <v>0</v>
      </c>
      <c r="F110" s="43">
        <v>0</v>
      </c>
      <c r="G110" s="100">
        <v>0</v>
      </c>
      <c r="H110" s="42">
        <v>0</v>
      </c>
      <c r="I110" s="43">
        <v>0</v>
      </c>
      <c r="J110" s="44">
        <v>0</v>
      </c>
      <c r="K110" s="42">
        <v>0</v>
      </c>
      <c r="L110" s="43">
        <v>0</v>
      </c>
      <c r="M110" s="44">
        <v>0</v>
      </c>
      <c r="N110" s="96">
        <f t="shared" si="19"/>
        <v>7148337</v>
      </c>
      <c r="O110" s="54" t="s">
        <v>16</v>
      </c>
      <c r="P110" s="97">
        <f t="shared" si="11"/>
        <v>7148337</v>
      </c>
    </row>
    <row r="111" spans="1:16" x14ac:dyDescent="0.2">
      <c r="A111" s="47" t="s">
        <v>115</v>
      </c>
      <c r="B111" s="107">
        <v>845705</v>
      </c>
      <c r="C111" s="54" t="s">
        <v>16</v>
      </c>
      <c r="D111" s="105">
        <f t="shared" si="20"/>
        <v>845705</v>
      </c>
      <c r="E111" s="42">
        <v>0</v>
      </c>
      <c r="F111" s="43">
        <v>0</v>
      </c>
      <c r="G111" s="100">
        <v>0</v>
      </c>
      <c r="H111" s="42">
        <v>0</v>
      </c>
      <c r="I111" s="43">
        <v>0</v>
      </c>
      <c r="J111" s="44">
        <v>0</v>
      </c>
      <c r="K111" s="42">
        <v>0</v>
      </c>
      <c r="L111" s="43">
        <v>0</v>
      </c>
      <c r="M111" s="44">
        <v>0</v>
      </c>
      <c r="N111" s="96">
        <f t="shared" si="19"/>
        <v>845705</v>
      </c>
      <c r="O111" s="54" t="s">
        <v>16</v>
      </c>
      <c r="P111" s="97">
        <f t="shared" si="11"/>
        <v>845705</v>
      </c>
    </row>
    <row r="112" spans="1:16" x14ac:dyDescent="0.2">
      <c r="A112" s="47" t="s">
        <v>116</v>
      </c>
      <c r="B112" s="107">
        <f>SUM(B113:B114)</f>
        <v>37102060</v>
      </c>
      <c r="C112" s="54" t="s">
        <v>16</v>
      </c>
      <c r="D112" s="105">
        <f t="shared" si="20"/>
        <v>37102060</v>
      </c>
      <c r="E112" s="42">
        <v>0</v>
      </c>
      <c r="F112" s="43">
        <v>0</v>
      </c>
      <c r="G112" s="100">
        <v>0</v>
      </c>
      <c r="H112" s="42">
        <v>0</v>
      </c>
      <c r="I112" s="43">
        <v>0</v>
      </c>
      <c r="J112" s="44">
        <v>0</v>
      </c>
      <c r="K112" s="42">
        <v>0</v>
      </c>
      <c r="L112" s="43">
        <v>0</v>
      </c>
      <c r="M112" s="44">
        <v>0</v>
      </c>
      <c r="N112" s="96">
        <f t="shared" si="19"/>
        <v>37102060</v>
      </c>
      <c r="O112" s="54" t="s">
        <v>16</v>
      </c>
      <c r="P112" s="97">
        <f t="shared" si="11"/>
        <v>37102060</v>
      </c>
    </row>
    <row r="113" spans="1:16" x14ac:dyDescent="0.2">
      <c r="A113" s="47" t="s">
        <v>117</v>
      </c>
      <c r="B113" s="107">
        <v>29700000</v>
      </c>
      <c r="C113" s="54" t="s">
        <v>16</v>
      </c>
      <c r="D113" s="105">
        <f t="shared" si="20"/>
        <v>29700000</v>
      </c>
      <c r="E113" s="42">
        <v>0</v>
      </c>
      <c r="F113" s="43">
        <v>0</v>
      </c>
      <c r="G113" s="100">
        <v>0</v>
      </c>
      <c r="H113" s="42">
        <v>0</v>
      </c>
      <c r="I113" s="43">
        <v>0</v>
      </c>
      <c r="J113" s="44">
        <v>0</v>
      </c>
      <c r="K113" s="42">
        <v>0</v>
      </c>
      <c r="L113" s="43">
        <v>0</v>
      </c>
      <c r="M113" s="44">
        <v>0</v>
      </c>
      <c r="N113" s="96">
        <f t="shared" si="19"/>
        <v>29700000</v>
      </c>
      <c r="O113" s="54" t="s">
        <v>16</v>
      </c>
      <c r="P113" s="97">
        <f t="shared" si="11"/>
        <v>29700000</v>
      </c>
    </row>
    <row r="114" spans="1:16" x14ac:dyDescent="0.2">
      <c r="A114" s="47" t="s">
        <v>118</v>
      </c>
      <c r="B114" s="107">
        <v>7402060</v>
      </c>
      <c r="C114" s="54" t="s">
        <v>16</v>
      </c>
      <c r="D114" s="105">
        <f t="shared" si="20"/>
        <v>7402060</v>
      </c>
      <c r="E114" s="42">
        <v>0</v>
      </c>
      <c r="F114" s="43">
        <v>0</v>
      </c>
      <c r="G114" s="100">
        <v>0</v>
      </c>
      <c r="H114" s="42">
        <v>0</v>
      </c>
      <c r="I114" s="43">
        <v>0</v>
      </c>
      <c r="J114" s="44">
        <v>0</v>
      </c>
      <c r="K114" s="42">
        <v>0</v>
      </c>
      <c r="L114" s="43">
        <v>0</v>
      </c>
      <c r="M114" s="44">
        <v>0</v>
      </c>
      <c r="N114" s="96">
        <f t="shared" si="19"/>
        <v>7402060</v>
      </c>
      <c r="O114" s="54" t="s">
        <v>16</v>
      </c>
      <c r="P114" s="97">
        <f t="shared" si="11"/>
        <v>7402060</v>
      </c>
    </row>
    <row r="115" spans="1:16" x14ac:dyDescent="0.2">
      <c r="A115" s="47" t="s">
        <v>119</v>
      </c>
      <c r="B115" s="107">
        <v>194300</v>
      </c>
      <c r="C115" s="54" t="s">
        <v>16</v>
      </c>
      <c r="D115" s="105">
        <f t="shared" si="20"/>
        <v>194300</v>
      </c>
      <c r="E115" s="42">
        <v>0</v>
      </c>
      <c r="F115" s="43">
        <v>0</v>
      </c>
      <c r="G115" s="100">
        <v>0</v>
      </c>
      <c r="H115" s="42">
        <v>0</v>
      </c>
      <c r="I115" s="43">
        <v>0</v>
      </c>
      <c r="J115" s="44">
        <v>0</v>
      </c>
      <c r="K115" s="42">
        <v>0</v>
      </c>
      <c r="L115" s="43">
        <v>0</v>
      </c>
      <c r="M115" s="44">
        <v>0</v>
      </c>
      <c r="N115" s="96">
        <f t="shared" si="19"/>
        <v>194300</v>
      </c>
      <c r="O115" s="54" t="s">
        <v>16</v>
      </c>
      <c r="P115" s="97">
        <f t="shared" si="11"/>
        <v>194300</v>
      </c>
    </row>
    <row r="116" spans="1:16" x14ac:dyDescent="0.2">
      <c r="A116" s="47" t="s">
        <v>120</v>
      </c>
      <c r="B116" s="107">
        <v>900000</v>
      </c>
      <c r="C116" s="54" t="s">
        <v>16</v>
      </c>
      <c r="D116" s="105">
        <f t="shared" si="20"/>
        <v>900000</v>
      </c>
      <c r="E116" s="42">
        <v>0</v>
      </c>
      <c r="F116" s="43">
        <v>0</v>
      </c>
      <c r="G116" s="100">
        <v>0</v>
      </c>
      <c r="H116" s="42">
        <v>0</v>
      </c>
      <c r="I116" s="43">
        <v>0</v>
      </c>
      <c r="J116" s="44">
        <v>0</v>
      </c>
      <c r="K116" s="42">
        <v>0</v>
      </c>
      <c r="L116" s="43">
        <v>0</v>
      </c>
      <c r="M116" s="44">
        <v>0</v>
      </c>
      <c r="N116" s="96">
        <f>+B116+E116</f>
        <v>900000</v>
      </c>
      <c r="O116" s="54" t="s">
        <v>16</v>
      </c>
      <c r="P116" s="97">
        <f>+N116-O116</f>
        <v>900000</v>
      </c>
    </row>
    <row r="117" spans="1:16" x14ac:dyDescent="0.2">
      <c r="A117" s="47" t="s">
        <v>121</v>
      </c>
      <c r="B117" s="107">
        <f>SUM(B118:B124)</f>
        <v>49855791</v>
      </c>
      <c r="C117" s="54" t="s">
        <v>16</v>
      </c>
      <c r="D117" s="105">
        <f t="shared" si="20"/>
        <v>49855791</v>
      </c>
      <c r="E117" s="42">
        <v>0</v>
      </c>
      <c r="F117" s="43">
        <v>0</v>
      </c>
      <c r="G117" s="100">
        <v>0</v>
      </c>
      <c r="H117" s="42">
        <v>0</v>
      </c>
      <c r="I117" s="43">
        <v>0</v>
      </c>
      <c r="J117" s="44">
        <v>0</v>
      </c>
      <c r="K117" s="42">
        <v>0</v>
      </c>
      <c r="L117" s="43">
        <v>0</v>
      </c>
      <c r="M117" s="44">
        <v>0</v>
      </c>
      <c r="N117" s="96">
        <f t="shared" ref="N117:N163" si="21">+B117+E117</f>
        <v>49855791</v>
      </c>
      <c r="O117" s="54" t="s">
        <v>16</v>
      </c>
      <c r="P117" s="97">
        <f t="shared" ref="P117:P138" si="22">+N117-O117</f>
        <v>49855791</v>
      </c>
    </row>
    <row r="118" spans="1:16" x14ac:dyDescent="0.2">
      <c r="A118" s="47" t="s">
        <v>122</v>
      </c>
      <c r="B118" s="107">
        <v>9598000</v>
      </c>
      <c r="C118" s="54" t="s">
        <v>16</v>
      </c>
      <c r="D118" s="105">
        <f t="shared" si="20"/>
        <v>9598000</v>
      </c>
      <c r="E118" s="42">
        <v>0</v>
      </c>
      <c r="F118" s="43">
        <v>0</v>
      </c>
      <c r="G118" s="100">
        <v>0</v>
      </c>
      <c r="H118" s="42">
        <v>0</v>
      </c>
      <c r="I118" s="43">
        <v>0</v>
      </c>
      <c r="J118" s="44">
        <v>0</v>
      </c>
      <c r="K118" s="42">
        <v>0</v>
      </c>
      <c r="L118" s="43">
        <v>0</v>
      </c>
      <c r="M118" s="44">
        <v>0</v>
      </c>
      <c r="N118" s="96">
        <f t="shared" si="21"/>
        <v>9598000</v>
      </c>
      <c r="O118" s="54" t="s">
        <v>16</v>
      </c>
      <c r="P118" s="97">
        <f t="shared" si="22"/>
        <v>9598000</v>
      </c>
    </row>
    <row r="119" spans="1:16" x14ac:dyDescent="0.2">
      <c r="A119" s="47" t="s">
        <v>123</v>
      </c>
      <c r="B119" s="107">
        <v>73000</v>
      </c>
      <c r="C119" s="54" t="s">
        <v>16</v>
      </c>
      <c r="D119" s="105">
        <f t="shared" si="20"/>
        <v>73000</v>
      </c>
      <c r="E119" s="42">
        <v>0</v>
      </c>
      <c r="F119" s="43">
        <v>0</v>
      </c>
      <c r="G119" s="100">
        <v>0</v>
      </c>
      <c r="H119" s="42">
        <v>0</v>
      </c>
      <c r="I119" s="43">
        <v>0</v>
      </c>
      <c r="J119" s="44">
        <v>0</v>
      </c>
      <c r="K119" s="42">
        <v>0</v>
      </c>
      <c r="L119" s="43">
        <v>0</v>
      </c>
      <c r="M119" s="44">
        <v>0</v>
      </c>
      <c r="N119" s="96">
        <f t="shared" si="21"/>
        <v>73000</v>
      </c>
      <c r="O119" s="54" t="s">
        <v>16</v>
      </c>
      <c r="P119" s="97">
        <f t="shared" si="22"/>
        <v>73000</v>
      </c>
    </row>
    <row r="120" spans="1:16" x14ac:dyDescent="0.2">
      <c r="A120" s="47" t="s">
        <v>124</v>
      </c>
      <c r="B120" s="107">
        <v>108000</v>
      </c>
      <c r="C120" s="54" t="s">
        <v>16</v>
      </c>
      <c r="D120" s="105">
        <f t="shared" si="20"/>
        <v>108000</v>
      </c>
      <c r="E120" s="42">
        <v>0</v>
      </c>
      <c r="F120" s="43">
        <v>0</v>
      </c>
      <c r="G120" s="100">
        <v>0</v>
      </c>
      <c r="H120" s="42">
        <v>0</v>
      </c>
      <c r="I120" s="43">
        <v>0</v>
      </c>
      <c r="J120" s="44">
        <v>0</v>
      </c>
      <c r="K120" s="42">
        <v>0</v>
      </c>
      <c r="L120" s="43">
        <v>0</v>
      </c>
      <c r="M120" s="44">
        <v>0</v>
      </c>
      <c r="N120" s="96">
        <f>+B120+E120</f>
        <v>108000</v>
      </c>
      <c r="O120" s="54" t="s">
        <v>16</v>
      </c>
      <c r="P120" s="97">
        <f>+N120-O120</f>
        <v>108000</v>
      </c>
    </row>
    <row r="121" spans="1:16" x14ac:dyDescent="0.2">
      <c r="A121" s="47" t="s">
        <v>125</v>
      </c>
      <c r="B121" s="107">
        <v>6000000</v>
      </c>
      <c r="C121" s="54" t="s">
        <v>16</v>
      </c>
      <c r="D121" s="105">
        <f t="shared" si="20"/>
        <v>6000000</v>
      </c>
      <c r="E121" s="42">
        <v>0</v>
      </c>
      <c r="F121" s="43">
        <v>0</v>
      </c>
      <c r="G121" s="100">
        <v>0</v>
      </c>
      <c r="H121" s="42">
        <v>0</v>
      </c>
      <c r="I121" s="43">
        <v>0</v>
      </c>
      <c r="J121" s="44">
        <v>0</v>
      </c>
      <c r="K121" s="42">
        <v>0</v>
      </c>
      <c r="L121" s="43">
        <v>0</v>
      </c>
      <c r="M121" s="44">
        <v>0</v>
      </c>
      <c r="N121" s="96">
        <f t="shared" si="21"/>
        <v>6000000</v>
      </c>
      <c r="O121" s="54" t="s">
        <v>16</v>
      </c>
      <c r="P121" s="97">
        <f t="shared" si="22"/>
        <v>6000000</v>
      </c>
    </row>
    <row r="122" spans="1:16" x14ac:dyDescent="0.2">
      <c r="A122" s="47" t="s">
        <v>126</v>
      </c>
      <c r="B122" s="107">
        <v>24503784</v>
      </c>
      <c r="C122" s="54" t="s">
        <v>16</v>
      </c>
      <c r="D122" s="105">
        <f t="shared" si="20"/>
        <v>24503784</v>
      </c>
      <c r="E122" s="42">
        <v>0</v>
      </c>
      <c r="F122" s="43">
        <v>0</v>
      </c>
      <c r="G122" s="100">
        <v>0</v>
      </c>
      <c r="H122" s="42">
        <v>0</v>
      </c>
      <c r="I122" s="43">
        <v>0</v>
      </c>
      <c r="J122" s="44">
        <v>0</v>
      </c>
      <c r="K122" s="42">
        <v>0</v>
      </c>
      <c r="L122" s="43">
        <v>0</v>
      </c>
      <c r="M122" s="44">
        <v>0</v>
      </c>
      <c r="N122" s="96">
        <f t="shared" si="21"/>
        <v>24503784</v>
      </c>
      <c r="O122" s="54" t="s">
        <v>16</v>
      </c>
      <c r="P122" s="97">
        <f t="shared" si="22"/>
        <v>24503784</v>
      </c>
    </row>
    <row r="123" spans="1:16" x14ac:dyDescent="0.2">
      <c r="A123" s="47" t="s">
        <v>127</v>
      </c>
      <c r="B123" s="107">
        <v>50000</v>
      </c>
      <c r="C123" s="54" t="s">
        <v>16</v>
      </c>
      <c r="D123" s="105">
        <f t="shared" si="20"/>
        <v>50000</v>
      </c>
      <c r="E123" s="42">
        <v>0</v>
      </c>
      <c r="F123" s="43">
        <v>0</v>
      </c>
      <c r="G123" s="100">
        <v>0</v>
      </c>
      <c r="H123" s="42">
        <v>0</v>
      </c>
      <c r="I123" s="43">
        <v>0</v>
      </c>
      <c r="J123" s="44">
        <v>0</v>
      </c>
      <c r="K123" s="42">
        <v>0</v>
      </c>
      <c r="L123" s="43">
        <v>0</v>
      </c>
      <c r="M123" s="44">
        <v>0</v>
      </c>
      <c r="N123" s="96">
        <f>+B123+E123</f>
        <v>50000</v>
      </c>
      <c r="O123" s="54" t="s">
        <v>16</v>
      </c>
      <c r="P123" s="97">
        <f>+N123-O123</f>
        <v>50000</v>
      </c>
    </row>
    <row r="124" spans="1:16" x14ac:dyDescent="0.2">
      <c r="A124" s="47" t="s">
        <v>128</v>
      </c>
      <c r="B124" s="107">
        <v>9523007</v>
      </c>
      <c r="C124" s="54" t="s">
        <v>16</v>
      </c>
      <c r="D124" s="105">
        <f t="shared" si="20"/>
        <v>9523007</v>
      </c>
      <c r="E124" s="42">
        <v>0</v>
      </c>
      <c r="F124" s="43">
        <v>0</v>
      </c>
      <c r="G124" s="100">
        <v>0</v>
      </c>
      <c r="H124" s="42">
        <v>0</v>
      </c>
      <c r="I124" s="43">
        <v>0</v>
      </c>
      <c r="J124" s="44">
        <v>0</v>
      </c>
      <c r="K124" s="42">
        <v>0</v>
      </c>
      <c r="L124" s="43">
        <v>0</v>
      </c>
      <c r="M124" s="44">
        <v>0</v>
      </c>
      <c r="N124" s="96">
        <f t="shared" si="21"/>
        <v>9523007</v>
      </c>
      <c r="O124" s="54" t="s">
        <v>16</v>
      </c>
      <c r="P124" s="97">
        <f t="shared" si="22"/>
        <v>9523007</v>
      </c>
    </row>
    <row r="125" spans="1:16" s="14" customFormat="1" x14ac:dyDescent="0.2">
      <c r="A125" s="57" t="s">
        <v>129</v>
      </c>
      <c r="B125" s="106">
        <f>SUM(B126:B129)</f>
        <v>68300979</v>
      </c>
      <c r="C125" s="91">
        <f>+C126+C127</f>
        <v>0</v>
      </c>
      <c r="D125" s="84">
        <f t="shared" si="20"/>
        <v>68300979</v>
      </c>
      <c r="E125" s="42">
        <v>0</v>
      </c>
      <c r="F125" s="88">
        <v>0</v>
      </c>
      <c r="G125" s="100">
        <v>0</v>
      </c>
      <c r="H125" s="104">
        <v>0</v>
      </c>
      <c r="I125" s="88">
        <v>0</v>
      </c>
      <c r="J125" s="89">
        <v>0</v>
      </c>
      <c r="K125" s="104">
        <v>0</v>
      </c>
      <c r="L125" s="88">
        <v>0</v>
      </c>
      <c r="M125" s="89">
        <v>0</v>
      </c>
      <c r="N125" s="90">
        <f>SUM(N126:N129)</f>
        <v>68300979</v>
      </c>
      <c r="O125" s="82">
        <f>SUM(O126:O127)</f>
        <v>0</v>
      </c>
      <c r="P125" s="92">
        <f>+N125-O125</f>
        <v>68300979</v>
      </c>
    </row>
    <row r="126" spans="1:16" x14ac:dyDescent="0.2">
      <c r="A126" s="47" t="s">
        <v>130</v>
      </c>
      <c r="B126" s="107">
        <v>20127900</v>
      </c>
      <c r="C126" s="54" t="s">
        <v>16</v>
      </c>
      <c r="D126" s="105">
        <f t="shared" si="20"/>
        <v>20127900</v>
      </c>
      <c r="E126" s="42">
        <v>0</v>
      </c>
      <c r="F126" s="43">
        <v>0</v>
      </c>
      <c r="G126" s="100">
        <v>0</v>
      </c>
      <c r="H126" s="42">
        <v>0</v>
      </c>
      <c r="I126" s="43">
        <v>0</v>
      </c>
      <c r="J126" s="44">
        <v>0</v>
      </c>
      <c r="K126" s="42">
        <v>0</v>
      </c>
      <c r="L126" s="43">
        <v>0</v>
      </c>
      <c r="M126" s="44">
        <v>0</v>
      </c>
      <c r="N126" s="96">
        <f t="shared" si="21"/>
        <v>20127900</v>
      </c>
      <c r="O126" s="54" t="s">
        <v>16</v>
      </c>
      <c r="P126" s="97">
        <f t="shared" si="22"/>
        <v>20127900</v>
      </c>
    </row>
    <row r="127" spans="1:16" x14ac:dyDescent="0.2">
      <c r="A127" s="47" t="s">
        <v>131</v>
      </c>
      <c r="B127" s="107">
        <v>37360762</v>
      </c>
      <c r="C127" s="54" t="s">
        <v>16</v>
      </c>
      <c r="D127" s="105">
        <f t="shared" si="20"/>
        <v>37360762</v>
      </c>
      <c r="E127" s="42">
        <v>0</v>
      </c>
      <c r="F127" s="43">
        <v>0</v>
      </c>
      <c r="G127" s="100">
        <v>0</v>
      </c>
      <c r="H127" s="42">
        <v>0</v>
      </c>
      <c r="I127" s="43">
        <v>0</v>
      </c>
      <c r="J127" s="44">
        <v>0</v>
      </c>
      <c r="K127" s="42">
        <v>0</v>
      </c>
      <c r="L127" s="43">
        <v>0</v>
      </c>
      <c r="M127" s="44">
        <v>0</v>
      </c>
      <c r="N127" s="96">
        <f t="shared" si="21"/>
        <v>37360762</v>
      </c>
      <c r="O127" s="54" t="s">
        <v>16</v>
      </c>
      <c r="P127" s="97">
        <f t="shared" si="22"/>
        <v>37360762</v>
      </c>
    </row>
    <row r="128" spans="1:16" x14ac:dyDescent="0.2">
      <c r="A128" s="47" t="s">
        <v>132</v>
      </c>
      <c r="B128" s="107">
        <v>10710276</v>
      </c>
      <c r="C128" s="54" t="s">
        <v>16</v>
      </c>
      <c r="D128" s="105">
        <f t="shared" si="20"/>
        <v>10710276</v>
      </c>
      <c r="E128" s="42">
        <v>0</v>
      </c>
      <c r="F128" s="43">
        <v>0</v>
      </c>
      <c r="G128" s="100">
        <v>0</v>
      </c>
      <c r="H128" s="42">
        <v>0</v>
      </c>
      <c r="I128" s="43">
        <v>0</v>
      </c>
      <c r="J128" s="44">
        <v>0</v>
      </c>
      <c r="K128" s="42">
        <v>0</v>
      </c>
      <c r="L128" s="43">
        <v>0</v>
      </c>
      <c r="M128" s="44">
        <v>0</v>
      </c>
      <c r="N128" s="96">
        <f>+B128+E128</f>
        <v>10710276</v>
      </c>
      <c r="O128" s="54" t="s">
        <v>16</v>
      </c>
      <c r="P128" s="97">
        <f>+N128-O128</f>
        <v>10710276</v>
      </c>
    </row>
    <row r="129" spans="1:18" x14ac:dyDescent="0.2">
      <c r="A129" s="47" t="s">
        <v>133</v>
      </c>
      <c r="B129" s="107">
        <f>+B130</f>
        <v>102041</v>
      </c>
      <c r="C129" s="54" t="s">
        <v>16</v>
      </c>
      <c r="D129" s="105">
        <f t="shared" si="20"/>
        <v>102041</v>
      </c>
      <c r="E129" s="42">
        <v>0</v>
      </c>
      <c r="F129" s="43">
        <v>0</v>
      </c>
      <c r="G129" s="100">
        <v>0</v>
      </c>
      <c r="H129" s="42">
        <v>0</v>
      </c>
      <c r="I129" s="43">
        <v>0</v>
      </c>
      <c r="J129" s="44">
        <v>0</v>
      </c>
      <c r="K129" s="42">
        <v>0</v>
      </c>
      <c r="L129" s="43">
        <v>0</v>
      </c>
      <c r="M129" s="44">
        <v>0</v>
      </c>
      <c r="N129" s="96">
        <f>+B129+E129</f>
        <v>102041</v>
      </c>
      <c r="O129" s="54" t="s">
        <v>16</v>
      </c>
      <c r="P129" s="97">
        <f>+N129-O129</f>
        <v>102041</v>
      </c>
    </row>
    <row r="130" spans="1:18" x14ac:dyDescent="0.2">
      <c r="A130" s="47" t="s">
        <v>134</v>
      </c>
      <c r="B130" s="107">
        <v>102041</v>
      </c>
      <c r="C130" s="54" t="s">
        <v>16</v>
      </c>
      <c r="D130" s="105">
        <f t="shared" si="20"/>
        <v>102041</v>
      </c>
      <c r="E130" s="42">
        <v>0</v>
      </c>
      <c r="F130" s="43">
        <v>0</v>
      </c>
      <c r="G130" s="100">
        <v>0</v>
      </c>
      <c r="H130" s="42">
        <v>0</v>
      </c>
      <c r="I130" s="43">
        <v>0</v>
      </c>
      <c r="J130" s="44">
        <v>0</v>
      </c>
      <c r="K130" s="42">
        <v>0</v>
      </c>
      <c r="L130" s="43">
        <v>0</v>
      </c>
      <c r="M130" s="44">
        <v>0</v>
      </c>
      <c r="N130" s="96">
        <f>+B130+E130</f>
        <v>102041</v>
      </c>
      <c r="O130" s="54" t="s">
        <v>16</v>
      </c>
      <c r="P130" s="97">
        <f>+N130-O130</f>
        <v>102041</v>
      </c>
    </row>
    <row r="131" spans="1:18" s="14" customFormat="1" x14ac:dyDescent="0.2">
      <c r="A131" s="113" t="s">
        <v>135</v>
      </c>
      <c r="B131" s="82">
        <f>+B132+B137+B139</f>
        <v>0</v>
      </c>
      <c r="C131" s="60" t="s">
        <v>16</v>
      </c>
      <c r="D131" s="84">
        <f t="shared" si="20"/>
        <v>0</v>
      </c>
      <c r="E131" s="42">
        <v>0</v>
      </c>
      <c r="F131" s="43">
        <v>0</v>
      </c>
      <c r="G131" s="100">
        <v>0</v>
      </c>
      <c r="H131" s="42">
        <v>0</v>
      </c>
      <c r="I131" s="43">
        <v>0</v>
      </c>
      <c r="J131" s="44">
        <v>0</v>
      </c>
      <c r="K131" s="42">
        <v>0</v>
      </c>
      <c r="L131" s="43">
        <v>0</v>
      </c>
      <c r="M131" s="44">
        <v>0</v>
      </c>
      <c r="N131" s="90">
        <f>+D131+G131</f>
        <v>0</v>
      </c>
      <c r="O131" s="60" t="s">
        <v>16</v>
      </c>
      <c r="P131" s="92">
        <f>+N131-O131</f>
        <v>0</v>
      </c>
    </row>
    <row r="132" spans="1:18" x14ac:dyDescent="0.2">
      <c r="A132" s="47" t="s">
        <v>136</v>
      </c>
      <c r="B132" s="93">
        <f>SUM(B133:B136)</f>
        <v>0</v>
      </c>
      <c r="C132" s="54" t="s">
        <v>16</v>
      </c>
      <c r="D132" s="105">
        <f t="shared" si="20"/>
        <v>0</v>
      </c>
      <c r="E132" s="42">
        <v>0</v>
      </c>
      <c r="F132" s="43">
        <v>0</v>
      </c>
      <c r="G132" s="100">
        <v>0</v>
      </c>
      <c r="H132" s="42">
        <v>0</v>
      </c>
      <c r="I132" s="43">
        <v>0</v>
      </c>
      <c r="J132" s="44">
        <v>0</v>
      </c>
      <c r="K132" s="42">
        <v>0</v>
      </c>
      <c r="L132" s="43">
        <v>0</v>
      </c>
      <c r="M132" s="44">
        <v>0</v>
      </c>
      <c r="N132" s="96">
        <f t="shared" si="21"/>
        <v>0</v>
      </c>
      <c r="O132" s="54" t="s">
        <v>16</v>
      </c>
      <c r="P132" s="97">
        <f t="shared" si="22"/>
        <v>0</v>
      </c>
    </row>
    <row r="133" spans="1:18" x14ac:dyDescent="0.2">
      <c r="A133" s="47" t="s">
        <v>137</v>
      </c>
      <c r="B133" s="107">
        <v>0</v>
      </c>
      <c r="C133" s="54" t="s">
        <v>16</v>
      </c>
      <c r="D133" s="105">
        <f t="shared" si="20"/>
        <v>0</v>
      </c>
      <c r="E133" s="42">
        <v>0</v>
      </c>
      <c r="F133" s="43">
        <v>0</v>
      </c>
      <c r="G133" s="100">
        <v>0</v>
      </c>
      <c r="H133" s="42">
        <v>0</v>
      </c>
      <c r="I133" s="43">
        <v>0</v>
      </c>
      <c r="J133" s="44">
        <v>0</v>
      </c>
      <c r="K133" s="42">
        <v>0</v>
      </c>
      <c r="L133" s="43">
        <v>0</v>
      </c>
      <c r="M133" s="44">
        <v>0</v>
      </c>
      <c r="N133" s="96">
        <f t="shared" si="21"/>
        <v>0</v>
      </c>
      <c r="O133" s="54" t="s">
        <v>16</v>
      </c>
      <c r="P133" s="97">
        <f t="shared" si="22"/>
        <v>0</v>
      </c>
    </row>
    <row r="134" spans="1:18" x14ac:dyDescent="0.2">
      <c r="A134" s="47" t="s">
        <v>138</v>
      </c>
      <c r="B134" s="107">
        <v>0</v>
      </c>
      <c r="C134" s="54" t="s">
        <v>16</v>
      </c>
      <c r="D134" s="105">
        <f t="shared" si="20"/>
        <v>0</v>
      </c>
      <c r="E134" s="42">
        <v>0</v>
      </c>
      <c r="F134" s="43">
        <v>0</v>
      </c>
      <c r="G134" s="100">
        <v>0</v>
      </c>
      <c r="H134" s="42">
        <v>0</v>
      </c>
      <c r="I134" s="43">
        <v>0</v>
      </c>
      <c r="J134" s="44">
        <v>0</v>
      </c>
      <c r="K134" s="42">
        <v>0</v>
      </c>
      <c r="L134" s="43">
        <v>0</v>
      </c>
      <c r="M134" s="44">
        <v>0</v>
      </c>
      <c r="N134" s="96">
        <f t="shared" si="21"/>
        <v>0</v>
      </c>
      <c r="O134" s="54" t="s">
        <v>16</v>
      </c>
      <c r="P134" s="97">
        <f t="shared" si="22"/>
        <v>0</v>
      </c>
    </row>
    <row r="135" spans="1:18" x14ac:dyDescent="0.2">
      <c r="A135" s="47" t="s">
        <v>139</v>
      </c>
      <c r="B135" s="107">
        <v>0</v>
      </c>
      <c r="C135" s="54" t="s">
        <v>16</v>
      </c>
      <c r="D135" s="105">
        <f t="shared" si="20"/>
        <v>0</v>
      </c>
      <c r="E135" s="42">
        <v>0</v>
      </c>
      <c r="F135" s="43">
        <v>0</v>
      </c>
      <c r="G135" s="100">
        <v>0</v>
      </c>
      <c r="H135" s="42">
        <v>0</v>
      </c>
      <c r="I135" s="43">
        <v>0</v>
      </c>
      <c r="J135" s="44">
        <v>0</v>
      </c>
      <c r="K135" s="42">
        <v>0</v>
      </c>
      <c r="L135" s="43">
        <v>0</v>
      </c>
      <c r="M135" s="44">
        <v>0</v>
      </c>
      <c r="N135" s="96">
        <f>+B135+E135</f>
        <v>0</v>
      </c>
      <c r="O135" s="54" t="s">
        <v>16</v>
      </c>
      <c r="P135" s="97">
        <f>+N135-O135</f>
        <v>0</v>
      </c>
    </row>
    <row r="136" spans="1:18" x14ac:dyDescent="0.2">
      <c r="A136" s="47" t="s">
        <v>140</v>
      </c>
      <c r="B136" s="107">
        <v>0</v>
      </c>
      <c r="C136" s="54" t="s">
        <v>16</v>
      </c>
      <c r="D136" s="105">
        <f t="shared" si="20"/>
        <v>0</v>
      </c>
      <c r="E136" s="42">
        <v>0</v>
      </c>
      <c r="F136" s="43">
        <v>0</v>
      </c>
      <c r="G136" s="100">
        <v>0</v>
      </c>
      <c r="H136" s="42">
        <v>0</v>
      </c>
      <c r="I136" s="43">
        <v>0</v>
      </c>
      <c r="J136" s="44">
        <v>0</v>
      </c>
      <c r="K136" s="42">
        <v>0</v>
      </c>
      <c r="L136" s="43">
        <v>0</v>
      </c>
      <c r="M136" s="44">
        <v>0</v>
      </c>
      <c r="N136" s="96">
        <f t="shared" si="21"/>
        <v>0</v>
      </c>
      <c r="O136" s="54" t="s">
        <v>16</v>
      </c>
      <c r="P136" s="97">
        <f t="shared" si="22"/>
        <v>0</v>
      </c>
    </row>
    <row r="137" spans="1:18" x14ac:dyDescent="0.2">
      <c r="A137" s="47" t="s">
        <v>141</v>
      </c>
      <c r="B137" s="107">
        <f>SUM(B138:B138)</f>
        <v>0</v>
      </c>
      <c r="C137" s="54" t="s">
        <v>16</v>
      </c>
      <c r="D137" s="105">
        <f t="shared" si="20"/>
        <v>0</v>
      </c>
      <c r="E137" s="42">
        <v>0</v>
      </c>
      <c r="F137" s="43">
        <v>0</v>
      </c>
      <c r="G137" s="100">
        <v>0</v>
      </c>
      <c r="H137" s="42">
        <v>0</v>
      </c>
      <c r="I137" s="43">
        <v>0</v>
      </c>
      <c r="J137" s="44">
        <v>0</v>
      </c>
      <c r="K137" s="42">
        <v>0</v>
      </c>
      <c r="L137" s="43">
        <v>0</v>
      </c>
      <c r="M137" s="44">
        <v>0</v>
      </c>
      <c r="N137" s="96">
        <f t="shared" si="21"/>
        <v>0</v>
      </c>
      <c r="O137" s="54" t="s">
        <v>16</v>
      </c>
      <c r="P137" s="97">
        <f t="shared" si="22"/>
        <v>0</v>
      </c>
    </row>
    <row r="138" spans="1:18" x14ac:dyDescent="0.2">
      <c r="A138" s="47" t="s">
        <v>142</v>
      </c>
      <c r="B138" s="107">
        <v>0</v>
      </c>
      <c r="C138" s="54" t="s">
        <v>16</v>
      </c>
      <c r="D138" s="105">
        <f t="shared" si="20"/>
        <v>0</v>
      </c>
      <c r="E138" s="42">
        <v>0</v>
      </c>
      <c r="F138" s="43">
        <v>0</v>
      </c>
      <c r="G138" s="100">
        <v>0</v>
      </c>
      <c r="H138" s="42">
        <v>0</v>
      </c>
      <c r="I138" s="43">
        <v>0</v>
      </c>
      <c r="J138" s="44">
        <v>0</v>
      </c>
      <c r="K138" s="42">
        <v>0</v>
      </c>
      <c r="L138" s="43">
        <v>0</v>
      </c>
      <c r="M138" s="44">
        <v>0</v>
      </c>
      <c r="N138" s="96">
        <f t="shared" si="21"/>
        <v>0</v>
      </c>
      <c r="O138" s="54" t="s">
        <v>16</v>
      </c>
      <c r="P138" s="97">
        <f t="shared" si="22"/>
        <v>0</v>
      </c>
    </row>
    <row r="139" spans="1:18" x14ac:dyDescent="0.2">
      <c r="A139" s="47" t="s">
        <v>143</v>
      </c>
      <c r="B139" s="107">
        <f>+B140</f>
        <v>0</v>
      </c>
      <c r="C139" s="54" t="s">
        <v>16</v>
      </c>
      <c r="D139" s="105">
        <f t="shared" si="20"/>
        <v>0</v>
      </c>
      <c r="E139" s="42">
        <v>0</v>
      </c>
      <c r="F139" s="43">
        <v>0</v>
      </c>
      <c r="G139" s="100">
        <v>0</v>
      </c>
      <c r="H139" s="42">
        <v>0</v>
      </c>
      <c r="I139" s="43">
        <v>0</v>
      </c>
      <c r="J139" s="44">
        <v>0</v>
      </c>
      <c r="K139" s="42">
        <v>0</v>
      </c>
      <c r="L139" s="43">
        <v>0</v>
      </c>
      <c r="M139" s="44">
        <v>0</v>
      </c>
      <c r="N139" s="96">
        <f t="shared" si="21"/>
        <v>0</v>
      </c>
      <c r="O139" s="54" t="s">
        <v>16</v>
      </c>
      <c r="P139" s="97">
        <f>+N139-O139</f>
        <v>0</v>
      </c>
    </row>
    <row r="140" spans="1:18" x14ac:dyDescent="0.2">
      <c r="A140" s="47" t="s">
        <v>144</v>
      </c>
      <c r="B140" s="107">
        <f>+B141</f>
        <v>0</v>
      </c>
      <c r="C140" s="54" t="s">
        <v>16</v>
      </c>
      <c r="D140" s="105">
        <f t="shared" si="20"/>
        <v>0</v>
      </c>
      <c r="E140" s="42">
        <v>0</v>
      </c>
      <c r="F140" s="43">
        <v>0</v>
      </c>
      <c r="G140" s="100">
        <v>0</v>
      </c>
      <c r="H140" s="42">
        <v>0</v>
      </c>
      <c r="I140" s="43">
        <v>0</v>
      </c>
      <c r="J140" s="44">
        <v>0</v>
      </c>
      <c r="K140" s="42">
        <v>0</v>
      </c>
      <c r="L140" s="43">
        <v>0</v>
      </c>
      <c r="M140" s="44">
        <v>0</v>
      </c>
      <c r="N140" s="96">
        <f t="shared" si="21"/>
        <v>0</v>
      </c>
      <c r="O140" s="54" t="s">
        <v>16</v>
      </c>
      <c r="P140" s="97">
        <f>+N140-O140</f>
        <v>0</v>
      </c>
    </row>
    <row r="141" spans="1:18" x14ac:dyDescent="0.2">
      <c r="A141" s="47" t="s">
        <v>145</v>
      </c>
      <c r="B141" s="107">
        <v>0</v>
      </c>
      <c r="C141" s="54" t="s">
        <v>16</v>
      </c>
      <c r="D141" s="105">
        <f t="shared" si="20"/>
        <v>0</v>
      </c>
      <c r="E141" s="42">
        <v>0</v>
      </c>
      <c r="F141" s="43">
        <v>0</v>
      </c>
      <c r="G141" s="100">
        <v>0</v>
      </c>
      <c r="H141" s="42">
        <v>0</v>
      </c>
      <c r="I141" s="43">
        <v>0</v>
      </c>
      <c r="J141" s="44">
        <v>0</v>
      </c>
      <c r="K141" s="42">
        <v>0</v>
      </c>
      <c r="L141" s="43">
        <v>0</v>
      </c>
      <c r="M141" s="44">
        <v>0</v>
      </c>
      <c r="N141" s="96">
        <f t="shared" si="21"/>
        <v>0</v>
      </c>
      <c r="O141" s="54" t="s">
        <v>16</v>
      </c>
      <c r="P141" s="97">
        <f>+N141-O141</f>
        <v>0</v>
      </c>
    </row>
    <row r="142" spans="1:18" s="14" customFormat="1" x14ac:dyDescent="0.2">
      <c r="A142" s="57" t="s">
        <v>146</v>
      </c>
      <c r="B142" s="82">
        <f>+B143</f>
        <v>12572838037</v>
      </c>
      <c r="C142" s="83">
        <f>+C143</f>
        <v>0</v>
      </c>
      <c r="D142" s="84">
        <f t="shared" si="20"/>
        <v>12572838037</v>
      </c>
      <c r="E142" s="82">
        <f>+E143</f>
        <v>218400000</v>
      </c>
      <c r="F142" s="83">
        <f>+F143</f>
        <v>0</v>
      </c>
      <c r="G142" s="114">
        <f>+G143</f>
        <v>218400000</v>
      </c>
      <c r="H142" s="42">
        <v>0</v>
      </c>
      <c r="I142" s="43">
        <v>0</v>
      </c>
      <c r="J142" s="44">
        <v>0</v>
      </c>
      <c r="K142" s="42">
        <v>0</v>
      </c>
      <c r="L142" s="43">
        <v>0</v>
      </c>
      <c r="M142" s="44">
        <v>0</v>
      </c>
      <c r="N142" s="90">
        <f t="shared" si="21"/>
        <v>12791238037</v>
      </c>
      <c r="O142" s="83">
        <f>+C142+F142+L142</f>
        <v>0</v>
      </c>
      <c r="P142" s="92">
        <f>+N142-O142</f>
        <v>12791238037</v>
      </c>
    </row>
    <row r="143" spans="1:18" s="14" customFormat="1" x14ac:dyDescent="0.2">
      <c r="A143" s="57" t="s">
        <v>147</v>
      </c>
      <c r="B143" s="106">
        <f>+B144+B148+B152+B155+B159+B160+B161+B156</f>
        <v>12572838037</v>
      </c>
      <c r="C143" s="91">
        <f>+C144+C148+C152+C155+C159+C160+C161</f>
        <v>0</v>
      </c>
      <c r="D143" s="84">
        <f t="shared" si="20"/>
        <v>12572838037</v>
      </c>
      <c r="E143" s="106">
        <f>+E144+E148+E152+E155+E159+E160+E161</f>
        <v>218400000</v>
      </c>
      <c r="F143" s="91">
        <f>+F144+F148+F152+F155+F159+F160+F161</f>
        <v>0</v>
      </c>
      <c r="G143" s="115">
        <f>+G144+G148+G152+G155+G159+G160+G161</f>
        <v>218400000</v>
      </c>
      <c r="H143" s="104">
        <v>0</v>
      </c>
      <c r="I143" s="88">
        <v>0</v>
      </c>
      <c r="J143" s="89">
        <v>0</v>
      </c>
      <c r="K143" s="104">
        <v>0</v>
      </c>
      <c r="L143" s="88">
        <v>0</v>
      </c>
      <c r="M143" s="89">
        <v>0</v>
      </c>
      <c r="N143" s="90">
        <f t="shared" si="21"/>
        <v>12791238037</v>
      </c>
      <c r="O143" s="82">
        <f>+C143+F143</f>
        <v>0</v>
      </c>
      <c r="P143" s="92">
        <f>+N143-O143</f>
        <v>12791238037</v>
      </c>
      <c r="R143" s="36"/>
    </row>
    <row r="144" spans="1:18" x14ac:dyDescent="0.2">
      <c r="A144" s="57" t="s">
        <v>148</v>
      </c>
      <c r="B144" s="107">
        <f>SUM(B145:B147)</f>
        <v>5767608110</v>
      </c>
      <c r="C144" s="55">
        <f>SUM(C145:C147)</f>
        <v>0</v>
      </c>
      <c r="D144" s="105">
        <f t="shared" si="20"/>
        <v>5767608110</v>
      </c>
      <c r="E144" s="42">
        <v>0</v>
      </c>
      <c r="F144" s="43">
        <v>0</v>
      </c>
      <c r="G144" s="100">
        <v>0</v>
      </c>
      <c r="H144" s="42">
        <v>0</v>
      </c>
      <c r="I144" s="43">
        <v>0</v>
      </c>
      <c r="J144" s="44">
        <v>0</v>
      </c>
      <c r="K144" s="42">
        <v>0</v>
      </c>
      <c r="L144" s="43">
        <v>0</v>
      </c>
      <c r="M144" s="44">
        <v>0</v>
      </c>
      <c r="N144" s="96">
        <f t="shared" si="21"/>
        <v>5767608110</v>
      </c>
      <c r="O144" s="51">
        <f>+C144+F144+L144</f>
        <v>0</v>
      </c>
      <c r="P144" s="97">
        <f t="shared" ref="P144:P171" si="23">+N144-O144</f>
        <v>5767608110</v>
      </c>
      <c r="R144" s="99"/>
    </row>
    <row r="145" spans="1:16" x14ac:dyDescent="0.2">
      <c r="A145" s="47" t="s">
        <v>149</v>
      </c>
      <c r="B145" s="107">
        <v>2000000000</v>
      </c>
      <c r="C145" s="54">
        <v>0</v>
      </c>
      <c r="D145" s="105">
        <f t="shared" si="20"/>
        <v>2000000000</v>
      </c>
      <c r="E145" s="42">
        <v>0</v>
      </c>
      <c r="F145" s="43">
        <v>0</v>
      </c>
      <c r="G145" s="100">
        <v>0</v>
      </c>
      <c r="H145" s="42">
        <v>0</v>
      </c>
      <c r="I145" s="43">
        <v>0</v>
      </c>
      <c r="J145" s="44">
        <v>0</v>
      </c>
      <c r="K145" s="42">
        <v>0</v>
      </c>
      <c r="L145" s="43">
        <v>0</v>
      </c>
      <c r="M145" s="44">
        <v>0</v>
      </c>
      <c r="N145" s="96">
        <f t="shared" si="21"/>
        <v>2000000000</v>
      </c>
      <c r="O145" s="54" t="s">
        <v>16</v>
      </c>
      <c r="P145" s="97">
        <f t="shared" si="23"/>
        <v>2000000000</v>
      </c>
    </row>
    <row r="146" spans="1:16" x14ac:dyDescent="0.2">
      <c r="A146" s="47" t="s">
        <v>150</v>
      </c>
      <c r="B146" s="107">
        <v>1299345755</v>
      </c>
      <c r="C146" s="55">
        <v>0</v>
      </c>
      <c r="D146" s="105">
        <f t="shared" si="20"/>
        <v>1299345755</v>
      </c>
      <c r="E146" s="42">
        <v>0</v>
      </c>
      <c r="F146" s="43">
        <v>0</v>
      </c>
      <c r="G146" s="100">
        <v>0</v>
      </c>
      <c r="H146" s="42">
        <v>0</v>
      </c>
      <c r="I146" s="43">
        <v>0</v>
      </c>
      <c r="J146" s="44">
        <v>0</v>
      </c>
      <c r="K146" s="42">
        <v>0</v>
      </c>
      <c r="L146" s="43">
        <v>0</v>
      </c>
      <c r="M146" s="44">
        <v>0</v>
      </c>
      <c r="N146" s="96">
        <f t="shared" si="21"/>
        <v>1299345755</v>
      </c>
      <c r="O146" s="55">
        <f>+C146+F146+L146</f>
        <v>0</v>
      </c>
      <c r="P146" s="97">
        <f t="shared" si="23"/>
        <v>1299345755</v>
      </c>
    </row>
    <row r="147" spans="1:16" x14ac:dyDescent="0.2">
      <c r="A147" s="47" t="s">
        <v>151</v>
      </c>
      <c r="B147" s="107">
        <v>2468262355</v>
      </c>
      <c r="C147" s="54">
        <v>0</v>
      </c>
      <c r="D147" s="105">
        <f t="shared" si="20"/>
        <v>2468262355</v>
      </c>
      <c r="E147" s="42">
        <v>0</v>
      </c>
      <c r="F147" s="43">
        <v>0</v>
      </c>
      <c r="G147" s="100">
        <v>0</v>
      </c>
      <c r="H147" s="42">
        <v>0</v>
      </c>
      <c r="I147" s="43">
        <v>0</v>
      </c>
      <c r="J147" s="44">
        <v>0</v>
      </c>
      <c r="K147" s="42">
        <v>0</v>
      </c>
      <c r="L147" s="43">
        <v>0</v>
      </c>
      <c r="M147" s="44">
        <v>0</v>
      </c>
      <c r="N147" s="96">
        <f t="shared" si="21"/>
        <v>2468262355</v>
      </c>
      <c r="O147" s="55">
        <f>+C147+F147+L147</f>
        <v>0</v>
      </c>
      <c r="P147" s="97">
        <f t="shared" si="23"/>
        <v>2468262355</v>
      </c>
    </row>
    <row r="148" spans="1:16" x14ac:dyDescent="0.2">
      <c r="A148" s="57" t="s">
        <v>152</v>
      </c>
      <c r="B148" s="93">
        <f>SUM(B149:B151)</f>
        <v>0</v>
      </c>
      <c r="C148" s="54" t="s">
        <v>16</v>
      </c>
      <c r="D148" s="105">
        <f>SUM(D149:D151)</f>
        <v>0</v>
      </c>
      <c r="E148" s="110">
        <f>SUM(E149:E151)</f>
        <v>0</v>
      </c>
      <c r="F148" s="116">
        <f>SUM(F149:F151)</f>
        <v>0</v>
      </c>
      <c r="G148" s="117">
        <f>SUM(G149:G151)</f>
        <v>0</v>
      </c>
      <c r="H148" s="42">
        <v>0</v>
      </c>
      <c r="I148" s="43">
        <v>0</v>
      </c>
      <c r="J148" s="44">
        <v>0</v>
      </c>
      <c r="K148" s="42">
        <v>0</v>
      </c>
      <c r="L148" s="43">
        <v>0</v>
      </c>
      <c r="M148" s="44">
        <v>0</v>
      </c>
      <c r="N148" s="96">
        <f t="shared" si="21"/>
        <v>0</v>
      </c>
      <c r="O148" s="54" t="s">
        <v>16</v>
      </c>
      <c r="P148" s="97">
        <f t="shared" si="23"/>
        <v>0</v>
      </c>
    </row>
    <row r="149" spans="1:16" x14ac:dyDescent="0.2">
      <c r="A149" s="47" t="s">
        <v>153</v>
      </c>
      <c r="B149" s="107">
        <v>0</v>
      </c>
      <c r="C149" s="54" t="s">
        <v>16</v>
      </c>
      <c r="D149" s="105">
        <f t="shared" ref="D149:D163" si="24">+B149-C149</f>
        <v>0</v>
      </c>
      <c r="E149" s="53">
        <v>0</v>
      </c>
      <c r="F149" s="43">
        <v>0</v>
      </c>
      <c r="G149" s="117">
        <f t="shared" ref="G149:G155" si="25">+E149-F149</f>
        <v>0</v>
      </c>
      <c r="H149" s="42">
        <v>0</v>
      </c>
      <c r="I149" s="43">
        <v>0</v>
      </c>
      <c r="J149" s="44">
        <v>0</v>
      </c>
      <c r="K149" s="42">
        <v>0</v>
      </c>
      <c r="L149" s="43">
        <v>0</v>
      </c>
      <c r="M149" s="44">
        <v>0</v>
      </c>
      <c r="N149" s="96">
        <f t="shared" si="21"/>
        <v>0</v>
      </c>
      <c r="O149" s="54" t="s">
        <v>16</v>
      </c>
      <c r="P149" s="97">
        <f t="shared" si="23"/>
        <v>0</v>
      </c>
    </row>
    <row r="150" spans="1:16" x14ac:dyDescent="0.2">
      <c r="A150" s="47" t="s">
        <v>154</v>
      </c>
      <c r="B150" s="107">
        <v>0</v>
      </c>
      <c r="C150" s="54" t="s">
        <v>16</v>
      </c>
      <c r="D150" s="105">
        <f t="shared" si="24"/>
        <v>0</v>
      </c>
      <c r="E150" s="53">
        <v>0</v>
      </c>
      <c r="F150" s="43">
        <v>0</v>
      </c>
      <c r="G150" s="117">
        <f t="shared" si="25"/>
        <v>0</v>
      </c>
      <c r="H150" s="42">
        <v>0</v>
      </c>
      <c r="I150" s="43">
        <v>0</v>
      </c>
      <c r="J150" s="44">
        <v>0</v>
      </c>
      <c r="K150" s="42">
        <v>0</v>
      </c>
      <c r="L150" s="43">
        <v>0</v>
      </c>
      <c r="M150" s="44">
        <v>0</v>
      </c>
      <c r="N150" s="96">
        <f t="shared" si="21"/>
        <v>0</v>
      </c>
      <c r="O150" s="54" t="s">
        <v>16</v>
      </c>
      <c r="P150" s="97">
        <f t="shared" si="23"/>
        <v>0</v>
      </c>
    </row>
    <row r="151" spans="1:16" x14ac:dyDescent="0.2">
      <c r="A151" s="47" t="s">
        <v>155</v>
      </c>
      <c r="B151" s="107">
        <v>0</v>
      </c>
      <c r="C151" s="54" t="s">
        <v>16</v>
      </c>
      <c r="D151" s="105">
        <f t="shared" si="24"/>
        <v>0</v>
      </c>
      <c r="E151" s="53">
        <v>0</v>
      </c>
      <c r="F151" s="43">
        <v>0</v>
      </c>
      <c r="G151" s="117">
        <f t="shared" si="25"/>
        <v>0</v>
      </c>
      <c r="H151" s="42">
        <v>0</v>
      </c>
      <c r="I151" s="43">
        <v>0</v>
      </c>
      <c r="J151" s="44">
        <v>0</v>
      </c>
      <c r="K151" s="42">
        <v>0</v>
      </c>
      <c r="L151" s="43">
        <v>0</v>
      </c>
      <c r="M151" s="44">
        <v>0</v>
      </c>
      <c r="N151" s="96">
        <f t="shared" si="21"/>
        <v>0</v>
      </c>
      <c r="O151" s="54" t="s">
        <v>16</v>
      </c>
      <c r="P151" s="97">
        <f t="shared" si="23"/>
        <v>0</v>
      </c>
    </row>
    <row r="152" spans="1:16" x14ac:dyDescent="0.2">
      <c r="A152" s="57" t="s">
        <v>156</v>
      </c>
      <c r="B152" s="82">
        <f>SUM(B153:B154)</f>
        <v>1677465412</v>
      </c>
      <c r="C152" s="54" t="s">
        <v>16</v>
      </c>
      <c r="D152" s="84">
        <f>SUM(D153:D154)</f>
        <v>1677465412</v>
      </c>
      <c r="E152" s="85">
        <f>SUM(E153:E154)</f>
        <v>218400000</v>
      </c>
      <c r="F152" s="109">
        <f>SUM(F153:F154)</f>
        <v>0</v>
      </c>
      <c r="G152" s="114">
        <f t="shared" si="25"/>
        <v>218400000</v>
      </c>
      <c r="H152" s="42">
        <v>0</v>
      </c>
      <c r="I152" s="43">
        <v>0</v>
      </c>
      <c r="J152" s="44">
        <v>0</v>
      </c>
      <c r="K152" s="42">
        <v>0</v>
      </c>
      <c r="L152" s="43">
        <v>0</v>
      </c>
      <c r="M152" s="44">
        <v>0</v>
      </c>
      <c r="N152" s="96">
        <f t="shared" si="21"/>
        <v>1895865412</v>
      </c>
      <c r="O152" s="93">
        <f>+C152+F152</f>
        <v>0</v>
      </c>
      <c r="P152" s="97">
        <f t="shared" si="23"/>
        <v>1895865412</v>
      </c>
    </row>
    <row r="153" spans="1:16" x14ac:dyDescent="0.2">
      <c r="A153" s="47" t="s">
        <v>157</v>
      </c>
      <c r="B153" s="107">
        <v>1677465412</v>
      </c>
      <c r="C153" s="54" t="s">
        <v>16</v>
      </c>
      <c r="D153" s="105">
        <f t="shared" si="24"/>
        <v>1677465412</v>
      </c>
      <c r="E153" s="107">
        <v>0</v>
      </c>
      <c r="F153" s="109">
        <v>0</v>
      </c>
      <c r="G153" s="117">
        <f t="shared" si="25"/>
        <v>0</v>
      </c>
      <c r="H153" s="42">
        <v>0</v>
      </c>
      <c r="I153" s="43">
        <v>0</v>
      </c>
      <c r="J153" s="44">
        <v>0</v>
      </c>
      <c r="K153" s="42">
        <v>0</v>
      </c>
      <c r="L153" s="43">
        <v>0</v>
      </c>
      <c r="M153" s="44">
        <v>0</v>
      </c>
      <c r="N153" s="96">
        <f t="shared" si="21"/>
        <v>1677465412</v>
      </c>
      <c r="O153" s="51">
        <f>+C153+F153+L153</f>
        <v>0</v>
      </c>
      <c r="P153" s="97">
        <f t="shared" si="23"/>
        <v>1677465412</v>
      </c>
    </row>
    <row r="154" spans="1:16" x14ac:dyDescent="0.2">
      <c r="A154" s="47" t="s">
        <v>158</v>
      </c>
      <c r="B154" s="107">
        <v>0</v>
      </c>
      <c r="C154" s="54" t="s">
        <v>16</v>
      </c>
      <c r="D154" s="105">
        <f t="shared" si="24"/>
        <v>0</v>
      </c>
      <c r="E154" s="107">
        <v>218400000</v>
      </c>
      <c r="F154" s="54" t="s">
        <v>16</v>
      </c>
      <c r="G154" s="117">
        <f t="shared" si="25"/>
        <v>218400000</v>
      </c>
      <c r="H154" s="42">
        <v>0</v>
      </c>
      <c r="I154" s="43">
        <v>0</v>
      </c>
      <c r="J154" s="44">
        <v>0</v>
      </c>
      <c r="K154" s="42">
        <v>0</v>
      </c>
      <c r="L154" s="43">
        <v>0</v>
      </c>
      <c r="M154" s="44">
        <v>0</v>
      </c>
      <c r="N154" s="96">
        <f t="shared" si="21"/>
        <v>218400000</v>
      </c>
      <c r="O154" s="54" t="s">
        <v>16</v>
      </c>
      <c r="P154" s="97">
        <f t="shared" si="23"/>
        <v>218400000</v>
      </c>
    </row>
    <row r="155" spans="1:16" x14ac:dyDescent="0.2">
      <c r="A155" s="57" t="s">
        <v>159</v>
      </c>
      <c r="B155" s="107">
        <v>742050</v>
      </c>
      <c r="C155" s="54" t="s">
        <v>16</v>
      </c>
      <c r="D155" s="105">
        <f t="shared" si="24"/>
        <v>742050</v>
      </c>
      <c r="E155" s="107">
        <v>0</v>
      </c>
      <c r="F155" s="43">
        <v>0</v>
      </c>
      <c r="G155" s="117">
        <f t="shared" si="25"/>
        <v>0</v>
      </c>
      <c r="H155" s="42">
        <v>0</v>
      </c>
      <c r="I155" s="43">
        <v>0</v>
      </c>
      <c r="J155" s="44">
        <v>0</v>
      </c>
      <c r="K155" s="42">
        <v>0</v>
      </c>
      <c r="L155" s="43">
        <v>0</v>
      </c>
      <c r="M155" s="44">
        <v>0</v>
      </c>
      <c r="N155" s="96">
        <f t="shared" si="21"/>
        <v>742050</v>
      </c>
      <c r="O155" s="54" t="s">
        <v>16</v>
      </c>
      <c r="P155" s="97">
        <f t="shared" si="23"/>
        <v>742050</v>
      </c>
    </row>
    <row r="156" spans="1:16" x14ac:dyDescent="0.2">
      <c r="A156" s="57" t="s">
        <v>160</v>
      </c>
      <c r="B156" s="107">
        <f>SUM(B157:B158)</f>
        <v>22620400</v>
      </c>
      <c r="C156" s="54" t="s">
        <v>16</v>
      </c>
      <c r="D156" s="105">
        <f t="shared" si="24"/>
        <v>22620400</v>
      </c>
      <c r="E156" s="107">
        <v>0</v>
      </c>
      <c r="F156" s="43">
        <v>0</v>
      </c>
      <c r="G156" s="117">
        <f>+E156-F156</f>
        <v>0</v>
      </c>
      <c r="H156" s="42">
        <v>0</v>
      </c>
      <c r="I156" s="43">
        <v>0</v>
      </c>
      <c r="J156" s="44">
        <v>0</v>
      </c>
      <c r="K156" s="42">
        <v>0</v>
      </c>
      <c r="L156" s="43">
        <v>0</v>
      </c>
      <c r="M156" s="44">
        <v>0</v>
      </c>
      <c r="N156" s="96">
        <f t="shared" si="21"/>
        <v>22620400</v>
      </c>
      <c r="O156" s="54" t="s">
        <v>16</v>
      </c>
      <c r="P156" s="97">
        <f>+N156-O156</f>
        <v>22620400</v>
      </c>
    </row>
    <row r="157" spans="1:16" x14ac:dyDescent="0.2">
      <c r="A157" s="47" t="s">
        <v>161</v>
      </c>
      <c r="B157" s="107">
        <v>12866400</v>
      </c>
      <c r="C157" s="54" t="s">
        <v>16</v>
      </c>
      <c r="D157" s="105">
        <f>+B157-C157</f>
        <v>12866400</v>
      </c>
      <c r="E157" s="107">
        <v>0</v>
      </c>
      <c r="F157" s="43">
        <v>0</v>
      </c>
      <c r="G157" s="117">
        <f>+E157-F157</f>
        <v>0</v>
      </c>
      <c r="H157" s="42">
        <v>0</v>
      </c>
      <c r="I157" s="43">
        <v>0</v>
      </c>
      <c r="J157" s="44">
        <v>0</v>
      </c>
      <c r="K157" s="42">
        <v>0</v>
      </c>
      <c r="L157" s="43">
        <v>0</v>
      </c>
      <c r="M157" s="44">
        <v>0</v>
      </c>
      <c r="N157" s="96">
        <f>+B157+E157</f>
        <v>12866400</v>
      </c>
      <c r="O157" s="54" t="s">
        <v>16</v>
      </c>
      <c r="P157" s="97">
        <f>+N157-O157</f>
        <v>12866400</v>
      </c>
    </row>
    <row r="158" spans="1:16" x14ac:dyDescent="0.2">
      <c r="A158" s="47" t="s">
        <v>162</v>
      </c>
      <c r="B158" s="107">
        <v>9754000</v>
      </c>
      <c r="C158" s="54" t="s">
        <v>16</v>
      </c>
      <c r="D158" s="105">
        <f t="shared" si="24"/>
        <v>9754000</v>
      </c>
      <c r="E158" s="107">
        <v>0</v>
      </c>
      <c r="F158" s="43">
        <v>0</v>
      </c>
      <c r="G158" s="117">
        <f>+E158-F158</f>
        <v>0</v>
      </c>
      <c r="H158" s="42">
        <v>0</v>
      </c>
      <c r="I158" s="43">
        <v>0</v>
      </c>
      <c r="J158" s="44">
        <v>0</v>
      </c>
      <c r="K158" s="42">
        <v>0</v>
      </c>
      <c r="L158" s="43">
        <v>0</v>
      </c>
      <c r="M158" s="44">
        <v>0</v>
      </c>
      <c r="N158" s="96">
        <f t="shared" si="21"/>
        <v>9754000</v>
      </c>
      <c r="O158" s="54" t="s">
        <v>16</v>
      </c>
      <c r="P158" s="97">
        <f>+N158-O158</f>
        <v>9754000</v>
      </c>
    </row>
    <row r="159" spans="1:16" x14ac:dyDescent="0.2">
      <c r="A159" s="57" t="s">
        <v>163</v>
      </c>
      <c r="B159" s="107">
        <v>1766741890</v>
      </c>
      <c r="C159" s="55">
        <v>0</v>
      </c>
      <c r="D159" s="105">
        <f t="shared" si="24"/>
        <v>1766741890</v>
      </c>
      <c r="E159" s="48" t="s">
        <v>16</v>
      </c>
      <c r="F159" s="43">
        <v>0</v>
      </c>
      <c r="G159" s="100">
        <v>0</v>
      </c>
      <c r="H159" s="42">
        <v>0</v>
      </c>
      <c r="I159" s="43">
        <v>0</v>
      </c>
      <c r="J159" s="44">
        <v>0</v>
      </c>
      <c r="K159" s="42">
        <v>0</v>
      </c>
      <c r="L159" s="43">
        <v>0</v>
      </c>
      <c r="M159" s="44">
        <v>0</v>
      </c>
      <c r="N159" s="96">
        <f t="shared" si="21"/>
        <v>1766741890</v>
      </c>
      <c r="O159" s="51">
        <f>+C159+F159+L159</f>
        <v>0</v>
      </c>
      <c r="P159" s="97">
        <f t="shared" si="23"/>
        <v>1766741890</v>
      </c>
    </row>
    <row r="160" spans="1:16" x14ac:dyDescent="0.2">
      <c r="A160" s="57" t="s">
        <v>164</v>
      </c>
      <c r="B160" s="107">
        <v>2260305000</v>
      </c>
      <c r="C160" s="54" t="s">
        <v>16</v>
      </c>
      <c r="D160" s="105">
        <f t="shared" si="24"/>
        <v>2260305000</v>
      </c>
      <c r="E160" s="48" t="s">
        <v>16</v>
      </c>
      <c r="F160" s="43">
        <v>0</v>
      </c>
      <c r="G160" s="100">
        <v>0</v>
      </c>
      <c r="H160" s="42">
        <v>0</v>
      </c>
      <c r="I160" s="43">
        <v>0</v>
      </c>
      <c r="J160" s="44">
        <v>0</v>
      </c>
      <c r="K160" s="42">
        <v>0</v>
      </c>
      <c r="L160" s="43">
        <v>0</v>
      </c>
      <c r="M160" s="44">
        <v>0</v>
      </c>
      <c r="N160" s="96">
        <f t="shared" si="21"/>
        <v>2260305000</v>
      </c>
      <c r="O160" s="54" t="s">
        <v>16</v>
      </c>
      <c r="P160" s="97">
        <f t="shared" si="23"/>
        <v>2260305000</v>
      </c>
    </row>
    <row r="161" spans="1:18" x14ac:dyDescent="0.2">
      <c r="A161" s="57" t="s">
        <v>165</v>
      </c>
      <c r="B161" s="56">
        <f>SUM(B162:B163)</f>
        <v>1077355175</v>
      </c>
      <c r="C161" s="54" t="s">
        <v>16</v>
      </c>
      <c r="D161" s="105">
        <f t="shared" si="24"/>
        <v>1077355175</v>
      </c>
      <c r="E161" s="48" t="s">
        <v>16</v>
      </c>
      <c r="F161" s="43">
        <v>0</v>
      </c>
      <c r="G161" s="100">
        <v>0</v>
      </c>
      <c r="H161" s="42">
        <v>0</v>
      </c>
      <c r="I161" s="43">
        <v>0</v>
      </c>
      <c r="J161" s="44">
        <v>0</v>
      </c>
      <c r="K161" s="42">
        <v>0</v>
      </c>
      <c r="L161" s="43">
        <v>0</v>
      </c>
      <c r="M161" s="44">
        <v>0</v>
      </c>
      <c r="N161" s="96">
        <f t="shared" si="21"/>
        <v>1077355175</v>
      </c>
      <c r="O161" s="54" t="s">
        <v>16</v>
      </c>
      <c r="P161" s="97">
        <f t="shared" si="23"/>
        <v>1077355175</v>
      </c>
    </row>
    <row r="162" spans="1:18" x14ac:dyDescent="0.2">
      <c r="A162" s="47" t="s">
        <v>166</v>
      </c>
      <c r="B162" s="56">
        <v>1073550175</v>
      </c>
      <c r="C162" s="54" t="s">
        <v>16</v>
      </c>
      <c r="D162" s="105">
        <f>+B162-C162</f>
        <v>1073550175</v>
      </c>
      <c r="E162" s="48" t="s">
        <v>16</v>
      </c>
      <c r="F162" s="43">
        <v>0</v>
      </c>
      <c r="G162" s="100">
        <v>0</v>
      </c>
      <c r="H162" s="42">
        <v>0</v>
      </c>
      <c r="I162" s="43">
        <v>0</v>
      </c>
      <c r="J162" s="44">
        <v>0</v>
      </c>
      <c r="K162" s="42">
        <v>0</v>
      </c>
      <c r="L162" s="43">
        <v>0</v>
      </c>
      <c r="M162" s="44">
        <v>0</v>
      </c>
      <c r="N162" s="96">
        <f>+B162+E162</f>
        <v>1073550175</v>
      </c>
      <c r="O162" s="54" t="s">
        <v>16</v>
      </c>
      <c r="P162" s="97">
        <f>+N162-O162</f>
        <v>1073550175</v>
      </c>
    </row>
    <row r="163" spans="1:18" x14ac:dyDescent="0.2">
      <c r="A163" s="47" t="s">
        <v>167</v>
      </c>
      <c r="B163" s="56">
        <v>3805000</v>
      </c>
      <c r="C163" s="54" t="s">
        <v>16</v>
      </c>
      <c r="D163" s="105">
        <f t="shared" si="24"/>
        <v>3805000</v>
      </c>
      <c r="E163" s="48" t="s">
        <v>16</v>
      </c>
      <c r="F163" s="43">
        <v>0</v>
      </c>
      <c r="G163" s="100">
        <v>0</v>
      </c>
      <c r="H163" s="42">
        <v>0</v>
      </c>
      <c r="I163" s="43">
        <v>0</v>
      </c>
      <c r="J163" s="44">
        <v>0</v>
      </c>
      <c r="K163" s="42">
        <v>0</v>
      </c>
      <c r="L163" s="43">
        <v>0</v>
      </c>
      <c r="M163" s="44">
        <v>0</v>
      </c>
      <c r="N163" s="96">
        <f t="shared" si="21"/>
        <v>3805000</v>
      </c>
      <c r="O163" s="54" t="s">
        <v>16</v>
      </c>
      <c r="P163" s="97">
        <f t="shared" si="23"/>
        <v>3805000</v>
      </c>
    </row>
    <row r="164" spans="1:18" s="14" customFormat="1" x14ac:dyDescent="0.2">
      <c r="A164" s="57" t="s">
        <v>168</v>
      </c>
      <c r="B164" s="48" t="s">
        <v>16</v>
      </c>
      <c r="C164" s="54" t="s">
        <v>16</v>
      </c>
      <c r="D164" s="118" t="s">
        <v>16</v>
      </c>
      <c r="E164" s="48" t="s">
        <v>16</v>
      </c>
      <c r="F164" s="88">
        <v>0</v>
      </c>
      <c r="G164" s="103">
        <v>0</v>
      </c>
      <c r="H164" s="82">
        <f>+H165+H168</f>
        <v>0</v>
      </c>
      <c r="I164" s="83">
        <f>+I165+I168</f>
        <v>0</v>
      </c>
      <c r="J164" s="92">
        <f>+H164-I164</f>
        <v>0</v>
      </c>
      <c r="K164" s="82">
        <f>+K165+K168</f>
        <v>16967547.370000001</v>
      </c>
      <c r="L164" s="83">
        <f>+L165+L168</f>
        <v>0</v>
      </c>
      <c r="M164" s="92">
        <f>+K164-L164</f>
        <v>16967547.370000001</v>
      </c>
      <c r="N164" s="90">
        <f>+D164+G164+K164</f>
        <v>16967547.370000001</v>
      </c>
      <c r="O164" s="83">
        <f>+C164+F164+L164</f>
        <v>0</v>
      </c>
      <c r="P164" s="92">
        <f>+N164-O164</f>
        <v>16967547.370000001</v>
      </c>
      <c r="R164" s="36"/>
    </row>
    <row r="165" spans="1:18" x14ac:dyDescent="0.2">
      <c r="A165" s="47" t="s">
        <v>169</v>
      </c>
      <c r="B165" s="48" t="s">
        <v>16</v>
      </c>
      <c r="C165" s="54" t="s">
        <v>16</v>
      </c>
      <c r="D165" s="118" t="s">
        <v>16</v>
      </c>
      <c r="E165" s="48" t="s">
        <v>16</v>
      </c>
      <c r="F165" s="43">
        <v>0</v>
      </c>
      <c r="G165" s="100">
        <v>0</v>
      </c>
      <c r="H165" s="119">
        <f>+H166</f>
        <v>0</v>
      </c>
      <c r="I165" s="120">
        <f>+I166</f>
        <v>0</v>
      </c>
      <c r="J165" s="97">
        <f>+H165-I165</f>
        <v>0</v>
      </c>
      <c r="K165" s="119">
        <f>+K166</f>
        <v>13370809.09</v>
      </c>
      <c r="L165" s="120">
        <f>+L166</f>
        <v>0</v>
      </c>
      <c r="M165" s="97">
        <f>+K165-L165</f>
        <v>13370809.09</v>
      </c>
      <c r="N165" s="96">
        <f>+B165+E165+K165</f>
        <v>13370809.09</v>
      </c>
      <c r="O165" s="51">
        <f t="shared" ref="O165:O171" si="26">+C165+F165+L165</f>
        <v>0</v>
      </c>
      <c r="P165" s="97">
        <f t="shared" si="23"/>
        <v>13370809.09</v>
      </c>
    </row>
    <row r="166" spans="1:18" x14ac:dyDescent="0.2">
      <c r="A166" s="47" t="s">
        <v>170</v>
      </c>
      <c r="B166" s="48" t="s">
        <v>16</v>
      </c>
      <c r="C166" s="54" t="s">
        <v>16</v>
      </c>
      <c r="D166" s="118" t="s">
        <v>16</v>
      </c>
      <c r="E166" s="48" t="s">
        <v>16</v>
      </c>
      <c r="F166" s="43">
        <v>0</v>
      </c>
      <c r="G166" s="100">
        <v>0</v>
      </c>
      <c r="H166" s="93">
        <f>SUM(H167:H167)</f>
        <v>0</v>
      </c>
      <c r="I166" s="51">
        <f>SUM(I167:I167)</f>
        <v>0</v>
      </c>
      <c r="J166" s="97">
        <f t="shared" ref="J166:J171" si="27">+H166-I166</f>
        <v>0</v>
      </c>
      <c r="K166" s="93">
        <f>SUM(K167:K167)</f>
        <v>13370809.09</v>
      </c>
      <c r="L166" s="51">
        <f>SUM(L167:L167)</f>
        <v>0</v>
      </c>
      <c r="M166" s="97">
        <f t="shared" ref="M166:M171" si="28">+K166-L166</f>
        <v>13370809.09</v>
      </c>
      <c r="N166" s="96">
        <f t="shared" ref="N166:N171" si="29">+B166+E166+K166</f>
        <v>13370809.09</v>
      </c>
      <c r="O166" s="51">
        <f t="shared" si="26"/>
        <v>0</v>
      </c>
      <c r="P166" s="97">
        <f t="shared" si="23"/>
        <v>13370809.09</v>
      </c>
    </row>
    <row r="167" spans="1:18" x14ac:dyDescent="0.2">
      <c r="A167" s="47" t="s">
        <v>171</v>
      </c>
      <c r="B167" s="48" t="s">
        <v>16</v>
      </c>
      <c r="C167" s="54" t="s">
        <v>16</v>
      </c>
      <c r="D167" s="118" t="s">
        <v>16</v>
      </c>
      <c r="E167" s="48" t="s">
        <v>16</v>
      </c>
      <c r="F167" s="43">
        <v>0</v>
      </c>
      <c r="G167" s="100">
        <v>0</v>
      </c>
      <c r="H167" s="107">
        <v>0</v>
      </c>
      <c r="I167" s="54">
        <v>0</v>
      </c>
      <c r="J167" s="97">
        <f t="shared" si="27"/>
        <v>0</v>
      </c>
      <c r="K167" s="107">
        <v>13370809.09</v>
      </c>
      <c r="L167" s="54">
        <v>0</v>
      </c>
      <c r="M167" s="97">
        <f t="shared" si="28"/>
        <v>13370809.09</v>
      </c>
      <c r="N167" s="96">
        <f t="shared" si="29"/>
        <v>13370809.09</v>
      </c>
      <c r="O167" s="51">
        <f t="shared" si="26"/>
        <v>0</v>
      </c>
      <c r="P167" s="97">
        <f t="shared" si="23"/>
        <v>13370809.09</v>
      </c>
    </row>
    <row r="168" spans="1:18" x14ac:dyDescent="0.2">
      <c r="A168" s="47" t="s">
        <v>172</v>
      </c>
      <c r="B168" s="48" t="s">
        <v>16</v>
      </c>
      <c r="C168" s="54" t="s">
        <v>16</v>
      </c>
      <c r="D168" s="118" t="s">
        <v>16</v>
      </c>
      <c r="E168" s="48" t="s">
        <v>16</v>
      </c>
      <c r="F168" s="43">
        <v>0</v>
      </c>
      <c r="G168" s="100">
        <v>0</v>
      </c>
      <c r="H168" s="107">
        <f>+H169</f>
        <v>0</v>
      </c>
      <c r="I168" s="54">
        <v>0</v>
      </c>
      <c r="J168" s="97">
        <f t="shared" si="27"/>
        <v>0</v>
      </c>
      <c r="K168" s="107">
        <f>+K169</f>
        <v>3596738.28</v>
      </c>
      <c r="L168" s="54">
        <v>0</v>
      </c>
      <c r="M168" s="97">
        <f t="shared" si="28"/>
        <v>3596738.28</v>
      </c>
      <c r="N168" s="96">
        <f t="shared" si="29"/>
        <v>3596738.28</v>
      </c>
      <c r="O168" s="51">
        <f t="shared" si="26"/>
        <v>0</v>
      </c>
      <c r="P168" s="97">
        <f t="shared" si="23"/>
        <v>3596738.28</v>
      </c>
    </row>
    <row r="169" spans="1:18" x14ac:dyDescent="0.2">
      <c r="A169" s="47" t="s">
        <v>173</v>
      </c>
      <c r="B169" s="48" t="s">
        <v>16</v>
      </c>
      <c r="C169" s="54" t="s">
        <v>16</v>
      </c>
      <c r="D169" s="118" t="s">
        <v>16</v>
      </c>
      <c r="E169" s="48" t="s">
        <v>16</v>
      </c>
      <c r="F169" s="43">
        <v>0</v>
      </c>
      <c r="G169" s="100">
        <v>0</v>
      </c>
      <c r="H169" s="107">
        <f>SUM(H170:H171)</f>
        <v>0</v>
      </c>
      <c r="I169" s="54">
        <v>0</v>
      </c>
      <c r="J169" s="97">
        <f t="shared" si="27"/>
        <v>0</v>
      </c>
      <c r="K169" s="107">
        <f>SUM(K170:K171)</f>
        <v>3596738.28</v>
      </c>
      <c r="L169" s="54">
        <v>0</v>
      </c>
      <c r="M169" s="97">
        <f t="shared" si="28"/>
        <v>3596738.28</v>
      </c>
      <c r="N169" s="96">
        <f t="shared" si="29"/>
        <v>3596738.28</v>
      </c>
      <c r="O169" s="51">
        <f t="shared" si="26"/>
        <v>0</v>
      </c>
      <c r="P169" s="97">
        <f t="shared" si="23"/>
        <v>3596738.28</v>
      </c>
    </row>
    <row r="170" spans="1:18" x14ac:dyDescent="0.2">
      <c r="A170" s="47" t="s">
        <v>174</v>
      </c>
      <c r="B170" s="48" t="s">
        <v>16</v>
      </c>
      <c r="C170" s="54" t="s">
        <v>16</v>
      </c>
      <c r="D170" s="118" t="s">
        <v>16</v>
      </c>
      <c r="E170" s="48" t="s">
        <v>16</v>
      </c>
      <c r="F170" s="43">
        <v>0</v>
      </c>
      <c r="G170" s="100">
        <v>0</v>
      </c>
      <c r="H170" s="107">
        <v>0</v>
      </c>
      <c r="I170" s="54" t="s">
        <v>16</v>
      </c>
      <c r="J170" s="97">
        <f t="shared" si="27"/>
        <v>0</v>
      </c>
      <c r="K170" s="107">
        <v>3594092</v>
      </c>
      <c r="L170" s="54" t="s">
        <v>16</v>
      </c>
      <c r="M170" s="97">
        <f t="shared" si="28"/>
        <v>3594092</v>
      </c>
      <c r="N170" s="96">
        <f t="shared" si="29"/>
        <v>3594092</v>
      </c>
      <c r="O170" s="51">
        <f t="shared" si="26"/>
        <v>0</v>
      </c>
      <c r="P170" s="97">
        <f t="shared" si="23"/>
        <v>3594092</v>
      </c>
    </row>
    <row r="171" spans="1:18" ht="13.5" thickBot="1" x14ac:dyDescent="0.25">
      <c r="A171" s="121" t="s">
        <v>175</v>
      </c>
      <c r="B171" s="122" t="s">
        <v>16</v>
      </c>
      <c r="C171" s="123" t="s">
        <v>16</v>
      </c>
      <c r="D171" s="124" t="s">
        <v>16</v>
      </c>
      <c r="E171" s="122" t="s">
        <v>16</v>
      </c>
      <c r="F171" s="125">
        <v>0</v>
      </c>
      <c r="G171" s="126">
        <v>0</v>
      </c>
      <c r="H171" s="127">
        <v>0</v>
      </c>
      <c r="I171" s="123" t="s">
        <v>16</v>
      </c>
      <c r="J171" s="128">
        <f t="shared" si="27"/>
        <v>0</v>
      </c>
      <c r="K171" s="127">
        <v>2646.28</v>
      </c>
      <c r="L171" s="123" t="s">
        <v>16</v>
      </c>
      <c r="M171" s="128">
        <f t="shared" si="28"/>
        <v>2646.28</v>
      </c>
      <c r="N171" s="96">
        <f t="shared" si="29"/>
        <v>2646.28</v>
      </c>
      <c r="O171" s="51">
        <f t="shared" si="26"/>
        <v>0</v>
      </c>
      <c r="P171" s="97">
        <f t="shared" si="23"/>
        <v>2646.28</v>
      </c>
    </row>
    <row r="172" spans="1:18" ht="13.5" thickBot="1" x14ac:dyDescent="0.25">
      <c r="A172" s="129" t="s">
        <v>176</v>
      </c>
      <c r="B172" s="130">
        <f t="shared" ref="B172:P172" si="30">+B10-B45</f>
        <v>-8980205779</v>
      </c>
      <c r="C172" s="131">
        <f t="shared" si="30"/>
        <v>18845217682</v>
      </c>
      <c r="D172" s="132">
        <f t="shared" si="30"/>
        <v>466829803</v>
      </c>
      <c r="E172" s="130">
        <f t="shared" si="30"/>
        <v>-1115355802</v>
      </c>
      <c r="F172" s="133">
        <f t="shared" si="30"/>
        <v>370615640.72000003</v>
      </c>
      <c r="G172" s="134">
        <f t="shared" si="30"/>
        <v>-744740161.27999997</v>
      </c>
      <c r="H172" s="133">
        <f>+H10-H45</f>
        <v>-300000000</v>
      </c>
      <c r="I172" s="133">
        <f>+I10-I45</f>
        <v>300000000</v>
      </c>
      <c r="J172" s="135">
        <f>+J10-J45</f>
        <v>0</v>
      </c>
      <c r="K172" s="133">
        <f t="shared" si="30"/>
        <v>-16967547.370000001</v>
      </c>
      <c r="L172" s="133">
        <f t="shared" si="30"/>
        <v>607547251.80999994</v>
      </c>
      <c r="M172" s="135">
        <f t="shared" si="30"/>
        <v>590579704.43999994</v>
      </c>
      <c r="N172" s="135">
        <f>+N10+N45</f>
        <v>19810711228.370003</v>
      </c>
      <c r="O172" s="135">
        <f t="shared" si="30"/>
        <v>20123380574.530003</v>
      </c>
      <c r="P172" s="135">
        <f t="shared" si="30"/>
        <v>312669346.15999985</v>
      </c>
      <c r="Q172" s="223"/>
      <c r="R172" s="136"/>
    </row>
    <row r="173" spans="1:18" ht="13.5" thickBot="1" x14ac:dyDescent="0.25">
      <c r="A173" s="137" t="s">
        <v>177</v>
      </c>
      <c r="B173" s="138">
        <v>0</v>
      </c>
      <c r="C173" s="139">
        <v>0</v>
      </c>
      <c r="D173" s="140">
        <v>422758618</v>
      </c>
      <c r="E173" s="141">
        <v>0</v>
      </c>
      <c r="F173" s="142">
        <v>0</v>
      </c>
      <c r="G173" s="142">
        <v>0</v>
      </c>
      <c r="H173" s="143">
        <v>0</v>
      </c>
      <c r="I173" s="142">
        <v>0</v>
      </c>
      <c r="J173" s="144">
        <v>0</v>
      </c>
      <c r="K173" s="143">
        <v>0</v>
      </c>
      <c r="L173" s="142">
        <v>0</v>
      </c>
      <c r="M173" s="144">
        <v>0</v>
      </c>
      <c r="N173" s="145">
        <v>0</v>
      </c>
      <c r="O173" s="144">
        <v>0</v>
      </c>
      <c r="P173" s="146">
        <f>+D173</f>
        <v>422758618</v>
      </c>
    </row>
    <row r="174" spans="1:18" ht="13.5" thickBot="1" x14ac:dyDescent="0.25">
      <c r="A174" s="147" t="s">
        <v>178</v>
      </c>
      <c r="B174" s="148"/>
      <c r="C174" s="149"/>
      <c r="D174" s="150">
        <f>+D172+D173</f>
        <v>889588421</v>
      </c>
      <c r="E174" s="151"/>
      <c r="F174" s="150">
        <f>+F172</f>
        <v>370615640.72000003</v>
      </c>
      <c r="G174" s="150">
        <f>+G172</f>
        <v>-744740161.27999997</v>
      </c>
      <c r="H174" s="151"/>
      <c r="I174" s="150">
        <f>+I172</f>
        <v>300000000</v>
      </c>
      <c r="J174" s="150">
        <f>+J172</f>
        <v>0</v>
      </c>
      <c r="K174" s="151"/>
      <c r="L174" s="150">
        <f>+L172</f>
        <v>607547251.80999994</v>
      </c>
      <c r="M174" s="150">
        <f>+M172</f>
        <v>590579704.43999994</v>
      </c>
      <c r="N174" s="152"/>
      <c r="O174" s="150">
        <f>+O172</f>
        <v>20123380574.530003</v>
      </c>
      <c r="P174" s="153">
        <f>+P172+P173</f>
        <v>735427964.15999985</v>
      </c>
    </row>
    <row r="175" spans="1:18" ht="13.5" customHeight="1" x14ac:dyDescent="0.2">
      <c r="B175" s="244"/>
      <c r="C175" s="244"/>
      <c r="D175" s="244"/>
    </row>
    <row r="176" spans="1:18" ht="13.5" customHeight="1" x14ac:dyDescent="0.2">
      <c r="B176" s="244"/>
      <c r="C176" s="244"/>
      <c r="D176" s="244"/>
    </row>
    <row r="177" spans="1:13" ht="13.5" customHeight="1" x14ac:dyDescent="0.25">
      <c r="D177" s="154"/>
      <c r="E177" s="155"/>
      <c r="F177" s="154"/>
      <c r="G177" s="156"/>
      <c r="H177" s="156"/>
      <c r="I177" s="156"/>
      <c r="J177" s="156"/>
      <c r="K177" s="156"/>
      <c r="L177" s="156"/>
      <c r="M177" s="156"/>
    </row>
    <row r="178" spans="1:13" ht="16.5" customHeight="1" x14ac:dyDescent="0.25">
      <c r="B178" s="157" t="s">
        <v>179</v>
      </c>
      <c r="C178" s="157"/>
      <c r="D178" s="154"/>
      <c r="E178" s="158"/>
      <c r="F178" s="159"/>
      <c r="G178" s="155"/>
      <c r="H178" s="155"/>
      <c r="I178" s="155"/>
      <c r="J178" s="155"/>
      <c r="K178" s="157" t="s">
        <v>180</v>
      </c>
      <c r="L178" s="157"/>
      <c r="M178" s="157"/>
    </row>
    <row r="179" spans="1:13" ht="16.5" customHeight="1" x14ac:dyDescent="0.2">
      <c r="B179" s="160" t="s">
        <v>181</v>
      </c>
      <c r="C179" s="160"/>
      <c r="D179" s="156"/>
      <c r="E179" s="158"/>
      <c r="F179" s="161"/>
      <c r="G179" s="158"/>
      <c r="H179" s="158"/>
      <c r="I179" s="158"/>
      <c r="J179" s="158"/>
      <c r="K179" s="160" t="s">
        <v>182</v>
      </c>
      <c r="L179" s="160"/>
      <c r="M179" s="160"/>
    </row>
    <row r="180" spans="1:13" ht="15.75" customHeight="1" x14ac:dyDescent="0.2">
      <c r="K180" s="162" t="s">
        <v>183</v>
      </c>
    </row>
    <row r="181" spans="1:13" ht="13.5" customHeight="1" x14ac:dyDescent="0.2">
      <c r="B181" s="163"/>
      <c r="C181" s="163"/>
      <c r="D181" s="7"/>
    </row>
    <row r="182" spans="1:13" ht="12.75" customHeight="1" x14ac:dyDescent="0.2">
      <c r="D182" s="7"/>
    </row>
    <row r="183" spans="1:13" ht="12.75" customHeight="1" x14ac:dyDescent="0.2">
      <c r="B183" s="163"/>
      <c r="C183" s="164"/>
      <c r="D183" s="7"/>
    </row>
    <row r="184" spans="1:13" ht="12.75" customHeight="1" x14ac:dyDescent="0.2">
      <c r="B184" s="101"/>
      <c r="D184" s="7"/>
    </row>
    <row r="185" spans="1:13" ht="12.75" customHeight="1" x14ac:dyDescent="0.2">
      <c r="B185" s="163"/>
      <c r="D185" s="165"/>
    </row>
    <row r="186" spans="1:13" ht="12.75" customHeight="1" thickBot="1" x14ac:dyDescent="0.25"/>
    <row r="187" spans="1:13" ht="12.75" customHeight="1" thickBot="1" x14ac:dyDescent="0.25">
      <c r="A187" s="245" t="s">
        <v>184</v>
      </c>
      <c r="B187" s="246"/>
    </row>
    <row r="189" spans="1:13" ht="12.75" customHeight="1" thickBot="1" x14ac:dyDescent="0.25">
      <c r="A189" s="14" t="s">
        <v>185</v>
      </c>
    </row>
    <row r="190" spans="1:13" ht="12.75" customHeight="1" thickBot="1" x14ac:dyDescent="0.25">
      <c r="A190" s="166" t="s">
        <v>186</v>
      </c>
      <c r="B190" s="167" t="s">
        <v>187</v>
      </c>
    </row>
    <row r="191" spans="1:13" ht="12.75" customHeight="1" x14ac:dyDescent="0.2">
      <c r="A191" s="168" t="s">
        <v>188</v>
      </c>
      <c r="B191" s="169">
        <f>+D13</f>
        <v>18835875000</v>
      </c>
      <c r="C191" s="101">
        <f>+B191*15%</f>
        <v>2825381250</v>
      </c>
    </row>
    <row r="192" spans="1:13" ht="12.75" customHeight="1" x14ac:dyDescent="0.2">
      <c r="A192" s="170" t="s">
        <v>189</v>
      </c>
      <c r="B192" s="171">
        <f>+D46</f>
        <v>1106458792</v>
      </c>
    </row>
    <row r="193" spans="1:4" ht="12.75" customHeight="1" x14ac:dyDescent="0.2">
      <c r="A193" s="170" t="s">
        <v>190</v>
      </c>
      <c r="B193" s="171">
        <f>+D148+D153+D155+D156</f>
        <v>1700827862</v>
      </c>
    </row>
    <row r="194" spans="1:4" ht="12.75" customHeight="1" thickBot="1" x14ac:dyDescent="0.25">
      <c r="A194" s="170" t="s">
        <v>191</v>
      </c>
      <c r="B194" s="44">
        <v>0</v>
      </c>
    </row>
    <row r="195" spans="1:4" ht="12.75" customHeight="1" thickBot="1" x14ac:dyDescent="0.25">
      <c r="A195" s="172" t="s">
        <v>192</v>
      </c>
      <c r="B195" s="173">
        <f>+B192+B193+B194</f>
        <v>2807286654</v>
      </c>
      <c r="C195" s="174">
        <f>+B195/B191</f>
        <v>0.14903935463576817</v>
      </c>
    </row>
    <row r="196" spans="1:4" ht="12.75" customHeight="1" thickBot="1" x14ac:dyDescent="0.25">
      <c r="A196" s="172" t="s">
        <v>193</v>
      </c>
      <c r="B196" s="175">
        <f>+B191*15%</f>
        <v>2825381250</v>
      </c>
      <c r="C196" s="176">
        <f>+B195-B196</f>
        <v>-18094596</v>
      </c>
      <c r="D196" s="177">
        <f>+C196/B196</f>
        <v>-6.4043024282121217E-3</v>
      </c>
    </row>
    <row r="197" spans="1:4" ht="12.75" customHeight="1" thickBot="1" x14ac:dyDescent="0.25">
      <c r="A197" s="178" t="s">
        <v>194</v>
      </c>
      <c r="B197" s="179">
        <f>+B195/B196</f>
        <v>0.99359569757178789</v>
      </c>
    </row>
    <row r="198" spans="1:4" ht="12.75" customHeight="1" thickBot="1" x14ac:dyDescent="0.25">
      <c r="A198" s="180" t="s">
        <v>195</v>
      </c>
      <c r="B198" s="181" t="s">
        <v>196</v>
      </c>
      <c r="D198" s="101" t="s">
        <v>3</v>
      </c>
    </row>
    <row r="199" spans="1:4" ht="12.75" customHeight="1" x14ac:dyDescent="0.2">
      <c r="A199" s="182" t="s">
        <v>197</v>
      </c>
      <c r="B199" s="8"/>
      <c r="D199" s="101" t="s">
        <v>3</v>
      </c>
    </row>
    <row r="200" spans="1:4" ht="12.75" customHeight="1" x14ac:dyDescent="0.2">
      <c r="A200" s="183"/>
      <c r="B200" s="8"/>
      <c r="D200" s="101" t="s">
        <v>3</v>
      </c>
    </row>
    <row r="201" spans="1:4" ht="12.75" customHeight="1" x14ac:dyDescent="0.2">
      <c r="A201" s="183"/>
      <c r="B201" s="8"/>
      <c r="D201" s="184" t="s">
        <v>3</v>
      </c>
    </row>
    <row r="202" spans="1:4" ht="12.75" customHeight="1" thickBot="1" x14ac:dyDescent="0.25">
      <c r="A202" s="14" t="s">
        <v>198</v>
      </c>
      <c r="D202" s="101" t="s">
        <v>3</v>
      </c>
    </row>
    <row r="203" spans="1:4" ht="12.75" customHeight="1" thickBot="1" x14ac:dyDescent="0.25">
      <c r="A203" s="166" t="s">
        <v>186</v>
      </c>
      <c r="B203" s="167" t="s">
        <v>187</v>
      </c>
    </row>
    <row r="204" spans="1:4" ht="12.75" customHeight="1" x14ac:dyDescent="0.2">
      <c r="A204" s="185" t="s">
        <v>188</v>
      </c>
      <c r="B204" s="186">
        <f>+D13</f>
        <v>18835875000</v>
      </c>
    </row>
    <row r="205" spans="1:4" ht="12.75" customHeight="1" x14ac:dyDescent="0.2">
      <c r="A205" s="187" t="s">
        <v>199</v>
      </c>
      <c r="B205" s="188">
        <f>-D24</f>
        <v>4699091050</v>
      </c>
    </row>
    <row r="206" spans="1:4" ht="12.75" customHeight="1" x14ac:dyDescent="0.2">
      <c r="A206" s="187" t="s">
        <v>200</v>
      </c>
      <c r="B206" s="189">
        <f>+D144</f>
        <v>5767608110</v>
      </c>
    </row>
    <row r="207" spans="1:4" ht="12.75" customHeight="1" x14ac:dyDescent="0.2">
      <c r="A207" s="187" t="s">
        <v>201</v>
      </c>
      <c r="B207" s="116">
        <f>+D160</f>
        <v>2260305000</v>
      </c>
    </row>
    <row r="208" spans="1:4" ht="12.75" customHeight="1" x14ac:dyDescent="0.2">
      <c r="A208" s="190" t="s">
        <v>202</v>
      </c>
      <c r="B208" s="191">
        <f>+D162</f>
        <v>1073550175</v>
      </c>
    </row>
    <row r="209" spans="1:3" ht="12.75" customHeight="1" x14ac:dyDescent="0.2">
      <c r="A209" s="190" t="s">
        <v>203</v>
      </c>
      <c r="B209" s="116">
        <f>+B195</f>
        <v>2807286654</v>
      </c>
    </row>
    <row r="210" spans="1:3" ht="12.75" customHeight="1" x14ac:dyDescent="0.2">
      <c r="A210" s="187" t="s">
        <v>204</v>
      </c>
      <c r="B210" s="109">
        <f>+B204*0.5%</f>
        <v>94179375</v>
      </c>
    </row>
    <row r="211" spans="1:3" ht="12.75" customHeight="1" x14ac:dyDescent="0.2">
      <c r="A211" s="187" t="s">
        <v>205</v>
      </c>
      <c r="B211" s="189">
        <f>+D172</f>
        <v>466829803</v>
      </c>
      <c r="C211" s="164">
        <f>SUM(B205:B209)</f>
        <v>16607840989</v>
      </c>
    </row>
    <row r="212" spans="1:3" ht="12.75" customHeight="1" thickBot="1" x14ac:dyDescent="0.25">
      <c r="A212" s="192" t="s">
        <v>206</v>
      </c>
      <c r="B212" s="193">
        <f>+B211/B210</f>
        <v>4.9568156828392631</v>
      </c>
      <c r="C212" s="164">
        <f>+B204-C211</f>
        <v>2228034011</v>
      </c>
    </row>
    <row r="213" spans="1:3" ht="12.75" customHeight="1" thickBot="1" x14ac:dyDescent="0.25">
      <c r="A213" s="194" t="s">
        <v>195</v>
      </c>
      <c r="B213" s="195" t="s">
        <v>207</v>
      </c>
    </row>
    <row r="214" spans="1:3" ht="12.75" customHeight="1" x14ac:dyDescent="0.2">
      <c r="A214" s="182" t="s">
        <v>197</v>
      </c>
    </row>
    <row r="216" spans="1:3" ht="12.75" customHeight="1" thickBot="1" x14ac:dyDescent="0.25">
      <c r="A216" s="14" t="s">
        <v>208</v>
      </c>
    </row>
    <row r="217" spans="1:3" ht="12.75" customHeight="1" thickBot="1" x14ac:dyDescent="0.25">
      <c r="A217" s="166" t="s">
        <v>186</v>
      </c>
      <c r="B217" s="167" t="s">
        <v>187</v>
      </c>
    </row>
    <row r="218" spans="1:3" ht="12.75" customHeight="1" x14ac:dyDescent="0.2">
      <c r="A218" s="168" t="s">
        <v>209</v>
      </c>
      <c r="B218" s="169">
        <f>+B191</f>
        <v>18835875000</v>
      </c>
    </row>
    <row r="219" spans="1:3" ht="12.75" customHeight="1" x14ac:dyDescent="0.2">
      <c r="A219" s="170" t="s">
        <v>210</v>
      </c>
      <c r="B219" s="175">
        <f>(1700000*26*9000)+(2000000*27*12000)</f>
        <v>1045800000000</v>
      </c>
    </row>
    <row r="220" spans="1:3" ht="12.75" customHeight="1" x14ac:dyDescent="0.2">
      <c r="A220" s="170" t="s">
        <v>211</v>
      </c>
      <c r="B220" s="196">
        <f>+B218/B219</f>
        <v>1.8010972461273665E-2</v>
      </c>
    </row>
    <row r="221" spans="1:3" ht="12.75" customHeight="1" x14ac:dyDescent="0.2">
      <c r="A221" s="170" t="s">
        <v>212</v>
      </c>
      <c r="B221" s="175">
        <f>+'[1]AÑO 2023'!$E$13</f>
        <v>16700994000</v>
      </c>
    </row>
    <row r="222" spans="1:3" ht="12.75" customHeight="1" x14ac:dyDescent="0.2">
      <c r="A222" s="197" t="s">
        <v>213</v>
      </c>
      <c r="B222" s="198">
        <f>(1400000*26*9000)+(1700000*26*9000)</f>
        <v>725400000000</v>
      </c>
    </row>
    <row r="223" spans="1:3" ht="12.75" customHeight="1" x14ac:dyDescent="0.2">
      <c r="A223" s="197" t="s">
        <v>214</v>
      </c>
      <c r="B223" s="196">
        <f>+B221/B222</f>
        <v>2.302315136476427E-2</v>
      </c>
    </row>
    <row r="224" spans="1:3" ht="12.75" customHeight="1" thickBot="1" x14ac:dyDescent="0.25">
      <c r="A224" s="199" t="s">
        <v>215</v>
      </c>
      <c r="B224" s="200">
        <f>+B220-B223</f>
        <v>-5.0121789034906043E-3</v>
      </c>
      <c r="C224" s="98" t="s">
        <v>3</v>
      </c>
    </row>
    <row r="225" spans="1:3" ht="12.75" customHeight="1" thickBot="1" x14ac:dyDescent="0.25">
      <c r="A225" s="180" t="s">
        <v>195</v>
      </c>
      <c r="B225" s="181" t="s">
        <v>196</v>
      </c>
      <c r="C225" s="98" t="s">
        <v>3</v>
      </c>
    </row>
    <row r="226" spans="1:3" ht="12.75" customHeight="1" x14ac:dyDescent="0.2">
      <c r="A226" s="182" t="s">
        <v>197</v>
      </c>
    </row>
    <row r="227" spans="1:3" ht="12.75" customHeight="1" thickBot="1" x14ac:dyDescent="0.25"/>
    <row r="228" spans="1:3" ht="12.75" customHeight="1" thickBot="1" x14ac:dyDescent="0.25">
      <c r="A228" s="201" t="s">
        <v>216</v>
      </c>
      <c r="B228" s="202"/>
    </row>
    <row r="229" spans="1:3" ht="12.75" customHeight="1" thickBot="1" x14ac:dyDescent="0.25">
      <c r="A229"/>
      <c r="B229"/>
    </row>
    <row r="230" spans="1:3" ht="12.75" customHeight="1" thickBot="1" x14ac:dyDescent="0.25">
      <c r="A230" s="203" t="s">
        <v>186</v>
      </c>
      <c r="B230" s="203" t="s">
        <v>187</v>
      </c>
    </row>
    <row r="231" spans="1:3" ht="12.75" customHeight="1" x14ac:dyDescent="0.2">
      <c r="A231" s="204" t="s">
        <v>217</v>
      </c>
      <c r="B231" s="205">
        <f>+D13</f>
        <v>18835875000</v>
      </c>
    </row>
    <row r="232" spans="1:3" ht="12.75" customHeight="1" x14ac:dyDescent="0.2">
      <c r="A232" s="172" t="s">
        <v>218</v>
      </c>
      <c r="B232" s="206">
        <f>+B195*6.66666666666667</f>
        <v>18715244360.000008</v>
      </c>
    </row>
    <row r="233" spans="1:3" ht="12.75" customHeight="1" x14ac:dyDescent="0.2">
      <c r="A233" s="207" t="s">
        <v>219</v>
      </c>
      <c r="B233" s="208">
        <f>+B231/B232</f>
        <v>1.0064455818839222</v>
      </c>
    </row>
    <row r="234" spans="1:3" ht="12.75" customHeight="1" thickBot="1" x14ac:dyDescent="0.25">
      <c r="A234" s="209" t="s">
        <v>220</v>
      </c>
      <c r="B234" s="210" t="s">
        <v>196</v>
      </c>
    </row>
    <row r="235" spans="1:3" ht="12.75" customHeight="1" x14ac:dyDescent="0.2">
      <c r="A235" s="182" t="s">
        <v>197</v>
      </c>
      <c r="B235"/>
    </row>
    <row r="236" spans="1:3" ht="12.75" customHeight="1" x14ac:dyDescent="0.2">
      <c r="A236"/>
      <c r="B236"/>
    </row>
    <row r="237" spans="1:3" ht="12.75" customHeight="1" x14ac:dyDescent="0.2">
      <c r="A237"/>
      <c r="B237"/>
    </row>
    <row r="238" spans="1:3" ht="12.75" customHeight="1" thickBot="1" x14ac:dyDescent="0.25">
      <c r="A238"/>
      <c r="B238"/>
    </row>
    <row r="239" spans="1:3" ht="12.75" customHeight="1" thickBot="1" x14ac:dyDescent="0.25">
      <c r="A239" s="201" t="s">
        <v>221</v>
      </c>
      <c r="B239" s="202"/>
    </row>
    <row r="240" spans="1:3" ht="12.75" customHeight="1" thickBot="1" x14ac:dyDescent="0.25">
      <c r="A240"/>
      <c r="B240"/>
    </row>
    <row r="241" spans="1:2" ht="12.75" customHeight="1" thickBot="1" x14ac:dyDescent="0.25">
      <c r="A241" s="203" t="s">
        <v>186</v>
      </c>
      <c r="B241" s="203" t="s">
        <v>187</v>
      </c>
    </row>
    <row r="242" spans="1:2" ht="12.75" customHeight="1" x14ac:dyDescent="0.2">
      <c r="A242" s="204" t="s">
        <v>222</v>
      </c>
      <c r="B242" s="205">
        <f>+D160</f>
        <v>2260305000</v>
      </c>
    </row>
    <row r="243" spans="1:2" ht="12.75" customHeight="1" x14ac:dyDescent="0.2">
      <c r="A243" s="207" t="s">
        <v>223</v>
      </c>
      <c r="B243" s="206">
        <f>+B242</f>
        <v>2260305000</v>
      </c>
    </row>
    <row r="244" spans="1:2" ht="12.75" customHeight="1" x14ac:dyDescent="0.2">
      <c r="A244" s="172" t="s">
        <v>224</v>
      </c>
      <c r="B244" s="206">
        <f>+B243/B242</f>
        <v>1</v>
      </c>
    </row>
    <row r="245" spans="1:2" ht="12.75" customHeight="1" thickBot="1" x14ac:dyDescent="0.25">
      <c r="A245" s="209" t="s">
        <v>225</v>
      </c>
      <c r="B245" s="211" t="s">
        <v>226</v>
      </c>
    </row>
    <row r="246" spans="1:2" ht="12.75" customHeight="1" x14ac:dyDescent="0.2">
      <c r="A246" s="182" t="s">
        <v>197</v>
      </c>
      <c r="B246"/>
    </row>
    <row r="247" spans="1:2" ht="12.75" customHeight="1" x14ac:dyDescent="0.2">
      <c r="A247"/>
      <c r="B247"/>
    </row>
    <row r="248" spans="1:2" ht="12.75" customHeight="1" x14ac:dyDescent="0.2">
      <c r="A248"/>
      <c r="B248"/>
    </row>
    <row r="249" spans="1:2" ht="12.75" customHeight="1" thickBot="1" x14ac:dyDescent="0.25">
      <c r="A249"/>
      <c r="B249"/>
    </row>
    <row r="250" spans="1:2" ht="12.75" customHeight="1" thickBot="1" x14ac:dyDescent="0.25">
      <c r="A250" s="201" t="s">
        <v>227</v>
      </c>
      <c r="B250" s="202"/>
    </row>
    <row r="251" spans="1:2" ht="12.75" customHeight="1" thickBot="1" x14ac:dyDescent="0.25">
      <c r="A251"/>
      <c r="B251"/>
    </row>
    <row r="252" spans="1:2" ht="12.75" customHeight="1" thickBot="1" x14ac:dyDescent="0.25">
      <c r="A252" s="203" t="s">
        <v>186</v>
      </c>
      <c r="B252" s="203" t="s">
        <v>187</v>
      </c>
    </row>
    <row r="253" spans="1:2" ht="12.75" customHeight="1" x14ac:dyDescent="0.2">
      <c r="A253" s="204" t="s">
        <v>228</v>
      </c>
      <c r="B253" s="205">
        <f>+D162</f>
        <v>1073550175</v>
      </c>
    </row>
    <row r="254" spans="1:2" ht="12.75" customHeight="1" x14ac:dyDescent="0.2">
      <c r="A254" s="207" t="s">
        <v>229</v>
      </c>
      <c r="B254" s="206">
        <f>+B253</f>
        <v>1073550175</v>
      </c>
    </row>
    <row r="255" spans="1:2" ht="12.75" customHeight="1" x14ac:dyDescent="0.2">
      <c r="A255" s="172" t="s">
        <v>230</v>
      </c>
      <c r="B255" s="206">
        <f>+B254/B253</f>
        <v>1</v>
      </c>
    </row>
    <row r="256" spans="1:2" ht="12.75" customHeight="1" thickBot="1" x14ac:dyDescent="0.25">
      <c r="A256" s="209" t="s">
        <v>220</v>
      </c>
      <c r="B256" s="211" t="s">
        <v>226</v>
      </c>
    </row>
    <row r="257" spans="1:2" ht="12.75" customHeight="1" x14ac:dyDescent="0.2">
      <c r="A257" s="182" t="str">
        <f>+A199</f>
        <v>Fuente: EEE. ENE. A DIC. 2024 - Acuerdo 108 de 2014</v>
      </c>
      <c r="B257"/>
    </row>
    <row r="258" spans="1:2" ht="12.75" customHeight="1" x14ac:dyDescent="0.2">
      <c r="A258"/>
      <c r="B258"/>
    </row>
    <row r="259" spans="1:2" ht="12.75" customHeight="1" x14ac:dyDescent="0.2">
      <c r="A259"/>
      <c r="B259"/>
    </row>
    <row r="260" spans="1:2" ht="12.75" customHeight="1" thickBot="1" x14ac:dyDescent="0.25">
      <c r="A260"/>
      <c r="B260"/>
    </row>
    <row r="261" spans="1:2" ht="12.75" customHeight="1" thickBot="1" x14ac:dyDescent="0.25">
      <c r="A261" s="201" t="s">
        <v>231</v>
      </c>
      <c r="B261" s="202"/>
    </row>
    <row r="262" spans="1:2" ht="12.75" customHeight="1" thickBot="1" x14ac:dyDescent="0.25">
      <c r="A262"/>
      <c r="B262"/>
    </row>
    <row r="263" spans="1:2" ht="12.75" customHeight="1" thickBot="1" x14ac:dyDescent="0.25">
      <c r="A263" s="203" t="s">
        <v>186</v>
      </c>
      <c r="B263" s="203" t="s">
        <v>187</v>
      </c>
    </row>
    <row r="264" spans="1:2" ht="12.75" customHeight="1" x14ac:dyDescent="0.2">
      <c r="A264" s="204" t="s">
        <v>232</v>
      </c>
      <c r="B264" s="205">
        <v>1474186624</v>
      </c>
    </row>
    <row r="265" spans="1:2" ht="12.75" customHeight="1" x14ac:dyDescent="0.2">
      <c r="A265" s="207" t="s">
        <v>233</v>
      </c>
      <c r="B265" s="206">
        <f>+B264</f>
        <v>1474186624</v>
      </c>
    </row>
    <row r="266" spans="1:2" ht="12.75" customHeight="1" x14ac:dyDescent="0.2">
      <c r="A266" s="172" t="s">
        <v>234</v>
      </c>
      <c r="B266" s="206">
        <f>+B265/B264</f>
        <v>1</v>
      </c>
    </row>
    <row r="267" spans="1:2" ht="12.75" customHeight="1" thickBot="1" x14ac:dyDescent="0.25">
      <c r="A267" s="209" t="s">
        <v>220</v>
      </c>
      <c r="B267" s="211" t="s">
        <v>226</v>
      </c>
    </row>
    <row r="268" spans="1:2" ht="12.75" customHeight="1" x14ac:dyDescent="0.2">
      <c r="A268" s="182" t="str">
        <f>+A199</f>
        <v>Fuente: EEE. ENE. A DIC. 2024 - Acuerdo 108 de 2014</v>
      </c>
      <c r="B268"/>
    </row>
    <row r="269" spans="1:2" ht="12.75" customHeight="1" x14ac:dyDescent="0.2">
      <c r="A269"/>
      <c r="B269"/>
    </row>
    <row r="270" spans="1:2" ht="12.75" customHeight="1" x14ac:dyDescent="0.2">
      <c r="A270"/>
      <c r="B270"/>
    </row>
    <row r="271" spans="1:2" ht="12.75" customHeight="1" thickBot="1" x14ac:dyDescent="0.25">
      <c r="A271"/>
      <c r="B271"/>
    </row>
    <row r="272" spans="1:2" ht="12.75" customHeight="1" thickBot="1" x14ac:dyDescent="0.25">
      <c r="A272" s="212" t="s">
        <v>235</v>
      </c>
      <c r="B272" s="202"/>
    </row>
    <row r="273" spans="1:2" ht="12.75" customHeight="1" thickBot="1" x14ac:dyDescent="0.25">
      <c r="A273"/>
      <c r="B273"/>
    </row>
    <row r="274" spans="1:2" ht="12.75" customHeight="1" thickBot="1" x14ac:dyDescent="0.25">
      <c r="A274" s="203" t="s">
        <v>186</v>
      </c>
      <c r="B274" s="203" t="s">
        <v>187</v>
      </c>
    </row>
    <row r="275" spans="1:2" ht="12.75" customHeight="1" x14ac:dyDescent="0.2">
      <c r="A275" s="204" t="s">
        <v>236</v>
      </c>
      <c r="B275" s="205">
        <f>+[2]Sheet1!D354</f>
        <v>0</v>
      </c>
    </row>
    <row r="276" spans="1:2" ht="12.75" customHeight="1" x14ac:dyDescent="0.2">
      <c r="A276" s="213" t="s">
        <v>237</v>
      </c>
      <c r="B276" s="214">
        <f>+B275</f>
        <v>0</v>
      </c>
    </row>
    <row r="277" spans="1:2" ht="12.75" customHeight="1" x14ac:dyDescent="0.2">
      <c r="A277" s="207" t="s">
        <v>238</v>
      </c>
      <c r="B277" s="206">
        <f>+[3]Sheet1!D369</f>
        <v>0</v>
      </c>
    </row>
    <row r="278" spans="1:2" ht="12.75" customHeight="1" x14ac:dyDescent="0.2">
      <c r="A278" s="207" t="s">
        <v>239</v>
      </c>
      <c r="B278" s="206">
        <v>0</v>
      </c>
    </row>
    <row r="279" spans="1:2" ht="12.75" customHeight="1" x14ac:dyDescent="0.2">
      <c r="A279" s="172" t="s">
        <v>240</v>
      </c>
      <c r="B279" s="215" t="s">
        <v>241</v>
      </c>
    </row>
    <row r="280" spans="1:2" ht="12.75" customHeight="1" thickBot="1" x14ac:dyDescent="0.25">
      <c r="A280" s="209" t="s">
        <v>220</v>
      </c>
      <c r="B280" s="216" t="s">
        <v>241</v>
      </c>
    </row>
    <row r="281" spans="1:2" ht="12.75" customHeight="1" x14ac:dyDescent="0.2">
      <c r="A281" s="182" t="str">
        <f>+A199</f>
        <v>Fuente: EEE. ENE. A DIC. 2024 - Acuerdo 108 de 2014</v>
      </c>
      <c r="B281"/>
    </row>
    <row r="282" spans="1:2" ht="12.75" customHeight="1" x14ac:dyDescent="0.2">
      <c r="A282"/>
      <c r="B282"/>
    </row>
    <row r="283" spans="1:2" ht="12.75" customHeight="1" x14ac:dyDescent="0.2">
      <c r="A283"/>
      <c r="B283"/>
    </row>
    <row r="284" spans="1:2" ht="12.75" customHeight="1" thickBot="1" x14ac:dyDescent="0.25">
      <c r="A284"/>
      <c r="B284"/>
    </row>
    <row r="285" spans="1:2" ht="12.75" customHeight="1" thickBot="1" x14ac:dyDescent="0.25">
      <c r="A285" s="201" t="s">
        <v>242</v>
      </c>
      <c r="B285" s="202"/>
    </row>
    <row r="286" spans="1:2" ht="12.75" customHeight="1" thickBot="1" x14ac:dyDescent="0.25">
      <c r="A286"/>
      <c r="B286"/>
    </row>
    <row r="287" spans="1:2" ht="12.75" customHeight="1" thickBot="1" x14ac:dyDescent="0.25">
      <c r="A287" s="203" t="s">
        <v>186</v>
      </c>
      <c r="B287" s="203" t="s">
        <v>187</v>
      </c>
    </row>
    <row r="288" spans="1:2" ht="12.75" customHeight="1" x14ac:dyDescent="0.2">
      <c r="A288" s="204" t="s">
        <v>243</v>
      </c>
      <c r="B288" s="217" t="str">
        <f>+[1]Hoja2!J13</f>
        <v>866.041.492,00</v>
      </c>
    </row>
    <row r="289" spans="1:2" ht="12.75" customHeight="1" x14ac:dyDescent="0.2">
      <c r="A289" s="207" t="s">
        <v>244</v>
      </c>
      <c r="B289" s="206">
        <f>+B288*75%</f>
        <v>649531119</v>
      </c>
    </row>
    <row r="290" spans="1:2" ht="12.75" customHeight="1" x14ac:dyDescent="0.2">
      <c r="A290" s="207" t="s">
        <v>245</v>
      </c>
      <c r="B290" s="206">
        <f>+B289</f>
        <v>649531119</v>
      </c>
    </row>
    <row r="291" spans="1:2" ht="12.75" customHeight="1" x14ac:dyDescent="0.2">
      <c r="A291" s="172" t="s">
        <v>246</v>
      </c>
      <c r="B291" s="206">
        <f>+B290/B288</f>
        <v>0.75</v>
      </c>
    </row>
    <row r="292" spans="1:2" ht="12.75" customHeight="1" thickBot="1" x14ac:dyDescent="0.25">
      <c r="A292" s="209" t="s">
        <v>220</v>
      </c>
      <c r="B292" s="211" t="s">
        <v>226</v>
      </c>
    </row>
    <row r="293" spans="1:2" ht="12.75" customHeight="1" x14ac:dyDescent="0.2">
      <c r="A293" s="218" t="str">
        <f>+A199</f>
        <v>Fuente: EEE. ENE. A DIC. 2024 - Acuerdo 108 de 2014</v>
      </c>
      <c r="B293" s="219"/>
    </row>
    <row r="295" spans="1:2" ht="12.75" customHeight="1" x14ac:dyDescent="0.2">
      <c r="A295" s="2" t="s">
        <v>247</v>
      </c>
    </row>
    <row r="299" spans="1:2" ht="12.75" customHeight="1" x14ac:dyDescent="0.2">
      <c r="A299" s="182" t="s">
        <v>179</v>
      </c>
    </row>
    <row r="300" spans="1:2" ht="12.75" customHeight="1" x14ac:dyDescent="0.2">
      <c r="A300" s="220" t="s">
        <v>181</v>
      </c>
    </row>
    <row r="301" spans="1:2" ht="12.75" customHeight="1" x14ac:dyDescent="0.2">
      <c r="A301" s="220"/>
    </row>
    <row r="302" spans="1:2" ht="12.75" customHeight="1" x14ac:dyDescent="0.2">
      <c r="A302" s="220"/>
    </row>
    <row r="303" spans="1:2" ht="12.75" customHeight="1" x14ac:dyDescent="0.2">
      <c r="A303" s="220"/>
    </row>
    <row r="304" spans="1:2" ht="12.75" customHeight="1" x14ac:dyDescent="0.25">
      <c r="A304" s="221" t="s">
        <v>180</v>
      </c>
      <c r="B304" s="157"/>
    </row>
    <row r="305" spans="1:2" ht="12.75" customHeight="1" x14ac:dyDescent="0.2">
      <c r="A305" s="222" t="s">
        <v>248</v>
      </c>
      <c r="B305" s="160"/>
    </row>
  </sheetData>
  <mergeCells count="15">
    <mergeCell ref="B175:D175"/>
    <mergeCell ref="B176:D176"/>
    <mergeCell ref="A187:B187"/>
    <mergeCell ref="A8:A9"/>
    <mergeCell ref="B8:D8"/>
    <mergeCell ref="E8:G8"/>
    <mergeCell ref="H8:J8"/>
    <mergeCell ref="K8:M8"/>
    <mergeCell ref="N8:P8"/>
    <mergeCell ref="A1:P1"/>
    <mergeCell ref="A2:P2"/>
    <mergeCell ref="A4:P4"/>
    <mergeCell ref="A5:P5"/>
    <mergeCell ref="B6:D6"/>
    <mergeCell ref="B7:D7"/>
  </mergeCells>
  <pageMargins left="1.2204724409448819" right="0" top="0.82677165354330717" bottom="0.43307086614173229" header="0" footer="0"/>
  <pageSetup paperSize="5" scale="45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AÑO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2025-05-30T14:45:26Z</cp:lastPrinted>
  <dcterms:created xsi:type="dcterms:W3CDTF">2025-05-29T23:03:57Z</dcterms:created>
  <dcterms:modified xsi:type="dcterms:W3CDTF">2026-03-12T16:14:30Z</dcterms:modified>
</cp:coreProperties>
</file>